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" sheetId="1" state="visible" r:id="rId3"/>
    <sheet name="Control" sheetId="2" state="visible" r:id="rId4"/>
    <sheet name="Sheet1" sheetId="3" state="hidden" r:id="rId5"/>
    <sheet name="Model" sheetId="4" state="visible" r:id="rId6"/>
    <sheet name="CurveFetch" sheetId="5" state="visible" r:id="rId7"/>
  </sheets>
  <externalReferences>
    <externalReference r:id="rId8"/>
  </externalReferences>
  <definedNames>
    <definedName function="false" hidden="false" localSheetId="1" name="_xlnm.Print_Area" vbProcedure="false">Control!$A$1:$G$62</definedName>
    <definedName function="false" hidden="false" localSheetId="4" name="_xlnm.Print_Area" vbProcedure="false">CurveFetch!$D$2:$M$26</definedName>
    <definedName function="false" hidden="false" name="Chart_Date" vbProcedure="false">OFFSET(Model!$A$8,0,0,COUNTIF(Model!$E$8:$E$288,"&gt;0"),1)</definedName>
    <definedName function="false" hidden="false" name="Chart_Del" vbProcedure="false">OFFSET(Model!$Y$8,0,0,COUNTIF(Model!$E$8:$E$288,"&gt;0"),1)</definedName>
    <definedName function="false" hidden="false" name="Chart_Rec" vbProcedure="false">OFFSET(Model!$L$8,0,0,COUNTIF(Model!$E$8:$E$288,"&gt;0"),1)</definedName>
    <definedName function="false" hidden="false" name="Comp_Per" vbProcedure="false">Control!$F$20</definedName>
    <definedName function="false" hidden="false" name="Cost_of_Funds" vbProcedure="false">Control!$F$19</definedName>
    <definedName function="false" hidden="false" name="Count" vbProcedure="false">CurveFetch!$A$4</definedName>
    <definedName function="false" hidden="false" name="CurveCode" vbProcedure="false">CurveFetch!$B$4</definedName>
    <definedName function="false" hidden="false" name="CurvePrices" vbProcedure="false">CurveFetch!$D$4:$E$9</definedName>
    <definedName function="false" hidden="false" name="CurveTable" vbProcedure="false">CurveFetch!$E$1:$AJ$7</definedName>
    <definedName function="false" hidden="false" name="CurveType" vbProcedure="false">CurveFetch!$B$5</definedName>
    <definedName function="false" hidden="false" name="curve_date" vbProcedure="false">CurveFetch!$E$2</definedName>
    <definedName function="false" hidden="false" name="Curve_Fetch" vbProcedure="false">CurveFetch!$D$8:$AJ$367</definedName>
    <definedName function="false" hidden="false" name="Curve_Fetch_Del_Curve" vbProcedure="false">CurveFetch!$K$4</definedName>
    <definedName function="false" hidden="false" name="Curve_Fetch_Rec_Curve" vbProcedure="false">CurveFetch!$H$4</definedName>
    <definedName function="false" hidden="false" name="Custom_Curves" vbProcedure="false">#REF!</definedName>
    <definedName function="false" hidden="false" name="date" vbProcedure="false">Control!$C$26</definedName>
    <definedName function="false" hidden="false" name="Days_in_Year" vbProcedure="false">Control!$F$21</definedName>
    <definedName function="false" hidden="false" name="Dump" vbProcedure="false">CurveFetch!$B$7</definedName>
    <definedName function="false" hidden="false" name="EffectiveDate" vbProcedure="false">CurveFetch!$B$2</definedName>
    <definedName function="false" hidden="false" name="End_Date" vbProcedure="false">Control!$C$18</definedName>
    <definedName function="false" hidden="false" name="Holidays" vbProcedure="false">Control!$Y$7:$Y$18</definedName>
    <definedName function="false" hidden="false" name="Month" vbProcedure="false">CurveFetch!$B$3</definedName>
    <definedName function="false" hidden="false" name="RiskType" vbProcedure="false">CurveFetch!$B$6</definedName>
    <definedName function="false" hidden="false" name="Start_Date" vbProcedure="false">Control!$C$17</definedName>
    <definedName function="false" hidden="false" name="Val_Date" vbProcedure="false">Control!$F$17</definedName>
    <definedName function="false" hidden="false" localSheetId="4" name="Holiday" vbProcedure="false">CurveFetch!$B$17:$B$29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Enter a warning if they enter a weekend, holiday,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108</xdr:colOff>
                <xdr:row>22</xdr:row>
                <xdr:rowOff>4</xdr:rowOff>
              </xdr:from>
              <xdr:to>
                <xdr:col>4</xdr:col>
                <xdr:colOff>38</xdr:colOff>
                <xdr:row>26</xdr:row>
                <xdr:rowOff>10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Don't change this cell.  It will update automatically.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23</xdr:row>
                <xdr:rowOff>8</xdr:rowOff>
              </xdr:from>
              <xdr:to>
                <xdr:col>4</xdr:col>
                <xdr:colOff>91</xdr:colOff>
                <xdr:row>26</xdr:row>
                <xdr:rowOff>4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T5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Note that the premium calc is a pv'd number already (as of today).  So to get an option value for the month you multiply it by the nominal volume for the month.  To get a swap number you need to divide the sum of this value by the Total PV Volume.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3</xdr:colOff>
                <xdr:row>3</xdr:row>
                <xdr:rowOff>7</xdr:rowOff>
              </xdr:from>
              <xdr:to>
                <xdr:col>22</xdr:col>
                <xdr:colOff>16</xdr:colOff>
                <xdr:row>10</xdr:row>
                <xdr:rowOff>8</xdr:rowOff>
              </xdr:to>
            </anchor>
          </commentPr>
        </mc:Choice>
        <mc:Fallback/>
      </mc:AlternateContent>
    </comment>
    <comment ref="AG5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Note that the premium calc is a pv'd number already (as of today).  So to get an option value for the month you multiply it by the nominal volume for the month.  To get a swap number you need to divide the sum of this value by the Total PV Volume.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3</xdr:row>
                <xdr:rowOff>7</xdr:rowOff>
              </xdr:from>
              <xdr:to>
                <xdr:col>35</xdr:col>
                <xdr:colOff>50</xdr:colOff>
                <xdr:row>10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<sst xmlns="http://schemas.openxmlformats.org/spreadsheetml/2006/main" count="341" uniqueCount="175">
  <si>
    <t xml:space="preserve">European Option Valuation Model</t>
  </si>
  <si>
    <t xml:space="preserve">Inputs</t>
  </si>
  <si>
    <t xml:space="preserve">Option</t>
  </si>
  <si>
    <t xml:space="preserve">Strike</t>
  </si>
  <si>
    <t xml:space="preserve">Start</t>
  </si>
  <si>
    <t xml:space="preserve">Premium</t>
  </si>
  <si>
    <t xml:space="preserve">Nymex</t>
  </si>
  <si>
    <t xml:space="preserve">End</t>
  </si>
  <si>
    <t xml:space="preserve">Basis</t>
  </si>
  <si>
    <t xml:space="preserve">Do Not Touch!  Data Validation Cells</t>
  </si>
  <si>
    <t xml:space="preserve">Put/Call</t>
  </si>
  <si>
    <t xml:space="preserve">Call</t>
  </si>
  <si>
    <t xml:space="preserve">Index</t>
  </si>
  <si>
    <t xml:space="preserve">Phys/Fin</t>
  </si>
  <si>
    <t xml:space="preserve">Physical</t>
  </si>
  <si>
    <t xml:space="preserve">Option Value</t>
  </si>
  <si>
    <t xml:space="preserve">Underlying</t>
  </si>
  <si>
    <t xml:space="preserve">Mid Curve Date</t>
  </si>
  <si>
    <t xml:space="preserve">Financial</t>
  </si>
  <si>
    <t xml:space="preserve">Origination</t>
  </si>
  <si>
    <t xml:space="preserve">Put</t>
  </si>
  <si>
    <t xml:space="preserve">Incremental Margin</t>
  </si>
  <si>
    <t xml:space="preserve">Origination Value</t>
  </si>
  <si>
    <t xml:space="preserve">Custom</t>
  </si>
  <si>
    <t xml:space="preserve">Flat</t>
  </si>
  <si>
    <t xml:space="preserve">Swap Volume </t>
  </si>
  <si>
    <t xml:space="preserve">Forward Price Curves ($/MMBtu)</t>
  </si>
  <si>
    <t xml:space="preserve">Option Curves</t>
  </si>
  <si>
    <t xml:space="preserve">Present Value Calcs</t>
  </si>
  <si>
    <t xml:space="preserve">Use Custom Profile or Flat:</t>
  </si>
  <si>
    <t xml:space="preserve">Choose Pricing Point:</t>
  </si>
  <si>
    <t xml:space="preserve">Fixed Volume Assumption</t>
  </si>
  <si>
    <t xml:space="preserve">MMBtu/d</t>
  </si>
  <si>
    <t xml:space="preserve">Select Nymex Curve Source:</t>
  </si>
  <si>
    <t xml:space="preserve">Select Basis Curve Source Below:</t>
  </si>
  <si>
    <t xml:space="preserve">Select Index Curve Source Below:</t>
  </si>
  <si>
    <t xml:space="preserve">FINANCIAL DEAL</t>
  </si>
  <si>
    <t xml:space="preserve">FUNCTION INACTIVE</t>
  </si>
  <si>
    <t xml:space="preserve">Delivery Date</t>
  </si>
  <si>
    <t xml:space="preserve">Settle Date</t>
  </si>
  <si>
    <t xml:space="preserve">Custom Profile (MMBtu/d)</t>
  </si>
  <si>
    <t xml:space="preserve">Modeled Volume (MMBtu/d)</t>
  </si>
  <si>
    <t xml:space="preserve">Nominal Volume (MMBtu/mo)</t>
  </si>
  <si>
    <t xml:space="preserve">PV Volume (MMBtu/mo)</t>
  </si>
  <si>
    <t xml:space="preserve">Custom Defined</t>
  </si>
  <si>
    <t xml:space="preserve">Curve Fetch</t>
  </si>
  <si>
    <t xml:space="preserve">(Bid)/Offer Spread</t>
  </si>
  <si>
    <t xml:space="preserve">Total NYMEX</t>
  </si>
  <si>
    <t xml:space="preserve">Total Basis</t>
  </si>
  <si>
    <t xml:space="preserve">Total Index</t>
  </si>
  <si>
    <t xml:space="preserve">Total Fixed Price</t>
  </si>
  <si>
    <t xml:space="preserve">Volatility</t>
  </si>
  <si>
    <t xml:space="preserve">Total Volatility</t>
  </si>
  <si>
    <t xml:space="preserve">Option Premium</t>
  </si>
  <si>
    <t xml:space="preserve">NYMEX</t>
  </si>
  <si>
    <t xml:space="preserve">Underlying </t>
  </si>
  <si>
    <t xml:space="preserve">VALUATION</t>
  </si>
  <si>
    <t xml:space="preserve">Time Period Calculator</t>
  </si>
  <si>
    <t xml:space="preserve">PV Volume</t>
  </si>
  <si>
    <t xml:space="preserve">Spread (Del - Rec)</t>
  </si>
  <si>
    <t xml:space="preserve">Start Date</t>
  </si>
  <si>
    <t xml:space="preserve">DO NOT TOUCH</t>
  </si>
  <si>
    <t xml:space="preserve">Total Spread Value</t>
  </si>
  <si>
    <t xml:space="preserve">Deal Period (Months)</t>
  </si>
  <si>
    <t xml:space="preserve">End Date</t>
  </si>
  <si>
    <t xml:space="preserve">Holiday Schedule</t>
  </si>
  <si>
    <t xml:space="preserve">Origination Calculator</t>
  </si>
  <si>
    <t xml:space="preserve">Orig Margin ($/MMbtu)</t>
  </si>
  <si>
    <t xml:space="preserve">Curve Lookup Table</t>
  </si>
  <si>
    <t xml:space="preserve">Total Fixed</t>
  </si>
  <si>
    <t xml:space="preserve">Total Origination</t>
  </si>
  <si>
    <t xml:space="preserve">Basis Lookup #</t>
  </si>
  <si>
    <t xml:space="preserve">Index Lookup #</t>
  </si>
  <si>
    <t xml:space="preserve">Vol Lookup #</t>
  </si>
  <si>
    <t xml:space="preserve">NG</t>
  </si>
  <si>
    <t xml:space="preserve">DEAL LENGTH AND VOLUMES</t>
  </si>
  <si>
    <t xml:space="preserve">PVIF CALCULATIONS</t>
  </si>
  <si>
    <t xml:space="preserve">Valuation Date</t>
  </si>
  <si>
    <t xml:space="preserve">Physical or Financial</t>
  </si>
  <si>
    <t xml:space="preserve">Implied Period</t>
  </si>
  <si>
    <t xml:space="preserve">Cost of Funds Charge</t>
  </si>
  <si>
    <t xml:space="preserve">Volume Source</t>
  </si>
  <si>
    <t xml:space="preserve">Compounding Periods</t>
  </si>
  <si>
    <t xml:space="preserve">Volume/Day</t>
  </si>
  <si>
    <t xml:space="preserve">Days in Year</t>
  </si>
  <si>
    <t xml:space="preserve">CURVE SELECTION</t>
  </si>
  <si>
    <t xml:space="preserve">Desired Curve Date</t>
  </si>
  <si>
    <t xml:space="preserve">Current Curve Date</t>
  </si>
  <si>
    <t xml:space="preserve">Nymex Source</t>
  </si>
  <si>
    <t xml:space="preserve">Mid</t>
  </si>
  <si>
    <t xml:space="preserve">Receipt Point</t>
  </si>
  <si>
    <t xml:space="preserve">Desired Rec Pt Curve</t>
  </si>
  <si>
    <t xml:space="preserve">Basis Source</t>
  </si>
  <si>
    <t xml:space="preserve">Known Volatility Curves</t>
  </si>
  <si>
    <t xml:space="preserve">Index Source</t>
  </si>
  <si>
    <t xml:space="preserve">IF-ELPO/SJ</t>
  </si>
  <si>
    <t xml:space="preserve">Desired Vol Mid Curve</t>
  </si>
  <si>
    <t xml:space="preserve">IF-ELPO/PERMIAN</t>
  </si>
  <si>
    <t xml:space="preserve">IF-NWPL_ROCKY_M</t>
  </si>
  <si>
    <t xml:space="preserve">Value Call or Put</t>
  </si>
  <si>
    <t xml:space="preserve">IF-NTHWST/CANBR</t>
  </si>
  <si>
    <t xml:space="preserve">NGI-SOCAL</t>
  </si>
  <si>
    <t xml:space="preserve">Call or Put</t>
  </si>
  <si>
    <t xml:space="preserve">Desired Vol Curve</t>
  </si>
  <si>
    <t xml:space="preserve">Available Vol Curve</t>
  </si>
  <si>
    <t xml:space="preserve">IF-KERN/RIVER</t>
  </si>
  <si>
    <t xml:space="preserve">IF-QUESTAR</t>
  </si>
  <si>
    <t xml:space="preserve">IF-CIG/RKYMTN</t>
  </si>
  <si>
    <t xml:space="preserve">CGPR-AECO/BASIS</t>
  </si>
  <si>
    <t xml:space="preserve">NGI-MALIN</t>
  </si>
  <si>
    <t xml:space="preserve">NGI-PGE/CG</t>
  </si>
  <si>
    <t xml:space="preserve">NGI-SOBDR-PG&amp;E</t>
  </si>
  <si>
    <t xml:space="preserve">Option Calculations</t>
  </si>
  <si>
    <t xml:space="preserve">PV Calculations</t>
  </si>
  <si>
    <t xml:space="preserve">Days in Delivery</t>
  </si>
  <si>
    <t xml:space="preserve">Payment Date</t>
  </si>
  <si>
    <t xml:space="preserve">Nominal Volume</t>
  </si>
  <si>
    <t xml:space="preserve">Total Nominal Volume</t>
  </si>
  <si>
    <t xml:space="preserve">Total</t>
  </si>
  <si>
    <t xml:space="preserve">Interest</t>
  </si>
  <si>
    <t xml:space="preserve">Yield</t>
  </si>
  <si>
    <t xml:space="preserve">Days to Expiration</t>
  </si>
  <si>
    <t xml:space="preserve">Premium Calc</t>
  </si>
  <si>
    <t xml:space="preserve">Spread</t>
  </si>
  <si>
    <t xml:space="preserve">Libor</t>
  </si>
  <si>
    <t xml:space="preserve">PVIF</t>
  </si>
  <si>
    <t xml:space="preserve">Volume</t>
  </si>
  <si>
    <t xml:space="preserve">SWAP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</si>
  <si>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</si>
  <si>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</si>
  <si>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</si>
  <si>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</si>
  <si>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Curve Type</t>
  </si>
  <si>
    <t xml:space="preserve">AA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</si>
  <si>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</si>
  <si>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</si>
  <si>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</si>
  <si>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</si>
  <si>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</si>
  <si>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</si>
  <si>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</si>
  <si>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</si>
  <si>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</si>
  <si>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</si>
  <si>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</si>
  <si>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</si>
  <si>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</si>
  <si>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</si>
  <si>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</si>
  <si>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</si>
  <si>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</si>
  <si>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</si>
  <si>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</si>
  <si>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</si>
  <si>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</si>
  <si>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</si>
  <si>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</si>
  <si>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</si>
  <si>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</si>
  <si>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</si>
  <si>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</si>
  <si>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</si>
  <si>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</si>
  <si>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</si>
  <si>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</si>
  <si>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</si>
  <si>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</si>
  <si>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</si>
  <si>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</si>
  <si>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</si>
  <si>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</si>
  <si>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</si>
  <si>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</si>
  <si>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aj8</t>
  </si>
  <si>
    <t xml:space="preserve">Prior Day GD HH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</si>
</sst>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/d/yyyy"/>
    <numFmt numFmtId="173" formatCode="dd\-mmm\-yy"/>
    <numFmt numFmtId="174" formatCode="_(* #,##0.00_);_(* \(#,##0.00\);_(* \-??_);_(@_)"/>
    <numFmt numFmtId="175" formatCode="_(* #,##0.000_);_(* \(#,##0.000\);_(* \-??_);_(@_)"/>
    <numFmt numFmtId="176" formatCode="_(* #,##0_);_(* \(#,##0\);_(* \-??_);_(@_)"/>
    <numFmt numFmtId="177" formatCode="[$-409]mmm\-yy"/>
    <numFmt numFmtId="178" formatCode="_(\$* #,##0.00_);_(\$* \(#,##0.00\);_(\$* \-??_);_(@_)"/>
    <numFmt numFmtId="179" formatCode="_(\$* #,##0_);_(\$* \(#,##0\);_(\$* \-??_);_(@_)"/>
    <numFmt numFmtId="180" formatCode="_(\$* #,##0.000_);_(\$* \(#,##0.000\);_(\$* \-??_);_(@_)"/>
    <numFmt numFmtId="181" formatCode="\$#,##0.000_);&quot;($&quot;#,##0.000\)"/>
    <numFmt numFmtId="182" formatCode="0.00"/>
    <numFmt numFmtId="183" formatCode="_(\$* #,##0_);_(\$* \(#,##0\);_(\$* \-_);_(@_)"/>
    <numFmt numFmtId="184" formatCode="[$-409]d\-mmm\-yy"/>
    <numFmt numFmtId="185" formatCode="0%"/>
    <numFmt numFmtId="186" formatCode="_(\$* #,##0.0000_);_(\$* \(#,##0.0000\);_(\$* \-??_);_(@_)"/>
    <numFmt numFmtId="187" formatCode="mm/dd/yy"/>
    <numFmt numFmtId="188" formatCode="_(\$* #,##0.000000_);_(\$* \(#,##0.000000\);_(\$* \-??_);_(@_)"/>
    <numFmt numFmtId="189" formatCode="0.000%"/>
    <numFmt numFmtId="190" formatCode="_(* #,##0.0000_);_(* \(#,##0.0000\);_(* \-??_);_(@_)"/>
    <numFmt numFmtId="191" formatCode="0.0000"/>
    <numFmt numFmtId="192" formatCode="0.00000000"/>
    <numFmt numFmtId="193" formatCode="_(* #,##0.0000000_);_(* \(#,##0.0000000\);_(* \-??_);_(@_)"/>
    <numFmt numFmtId="194" formatCode="mmm\-dd\-yy"/>
    <numFmt numFmtId="195" formatCode="0.000"/>
    <numFmt numFmtId="196" formatCode="m/d/yyyy\ h:mm:ss"/>
  </numFmts>
  <fonts count="5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 Narrow"/>
      <family val="2"/>
    </font>
    <font>
      <sz val="12"/>
      <color rgb="FFFFFFFF"/>
      <name val="Arial Black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6"/>
      <color rgb="FFFFFFFF"/>
      <name val="Arial Narrow"/>
      <family val="2"/>
    </font>
    <font>
      <sz val="10"/>
      <color rgb="FFFFFFFF"/>
      <name val="Arial"/>
      <family val="0"/>
    </font>
    <font>
      <b val="true"/>
      <sz val="10"/>
      <color rgb="FF0000FF"/>
      <name val="Arial Narrow"/>
      <family val="2"/>
    </font>
    <font>
      <b val="true"/>
      <sz val="14"/>
      <color rgb="FF000000"/>
      <name val="Arial Narrow"/>
      <family val="2"/>
    </font>
    <font>
      <b val="true"/>
      <sz val="16"/>
      <color rgb="FF000000"/>
      <name val="Arial Narrow"/>
      <family val="2"/>
    </font>
    <font>
      <i val="true"/>
      <sz val="10"/>
      <color rgb="FFFF0000"/>
      <name val="Arial"/>
      <family val="2"/>
    </font>
    <font>
      <sz val="10"/>
      <color rgb="FF000000"/>
      <name val="Arial Narrow"/>
      <family val="2"/>
    </font>
    <font>
      <b val="true"/>
      <sz val="10"/>
      <color rgb="FF000000"/>
      <name val="Arial Narrow"/>
      <family val="2"/>
    </font>
    <font>
      <b val="true"/>
      <sz val="12"/>
      <color rgb="FFFF0000"/>
      <name val="Arial"/>
      <family val="2"/>
    </font>
    <font>
      <sz val="10"/>
      <color rgb="FF0000FF"/>
      <name val="Arial Narrow"/>
      <family val="2"/>
    </font>
    <font>
      <b val="true"/>
      <sz val="10"/>
      <color rgb="FFFFFFFF"/>
      <name val="Arial"/>
      <family val="2"/>
    </font>
    <font>
      <b val="true"/>
      <sz val="10"/>
      <color rgb="FFFFFFFF"/>
      <name val="Arial Narrow"/>
      <family val="2"/>
    </font>
    <font>
      <b val="true"/>
      <sz val="10"/>
      <color rgb="FF0000FF"/>
      <name val="Arial"/>
      <family val="2"/>
    </font>
    <font>
      <b val="true"/>
      <sz val="10"/>
      <name val="Arial Narrow"/>
      <family val="2"/>
    </font>
    <font>
      <sz val="10"/>
      <color rgb="FFC0C0C0"/>
      <name val="Arial Narrow"/>
      <family val="2"/>
    </font>
    <font>
      <b val="true"/>
      <i val="true"/>
      <sz val="10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i val="true"/>
      <sz val="14"/>
      <color rgb="FFFF000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i val="true"/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sz val="10"/>
      <color rgb="FFC0C0C0"/>
      <name val="Arial"/>
      <family val="2"/>
    </font>
    <font>
      <b val="true"/>
      <sz val="10"/>
      <color rgb="FFC0C0C0"/>
      <name val="Arial"/>
      <family val="2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2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6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4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6" fontId="1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6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6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6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4" fillId="5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5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5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2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1" fillId="3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8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9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9" fillId="3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3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5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3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1" fillId="5" borderId="1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6" fillId="0" borderId="1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1" fillId="5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1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16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16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6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4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8" fillId="7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8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0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3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6" fontId="54" fillId="4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3" fillId="7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3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53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3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3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3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  <dxfs count="24">
    <dxf>
      <font>
        <name val="Arial"/>
        <family val="0"/>
        <color rgb="FFC0C0C0"/>
      </font>
      <fill>
        <patternFill/>
      </fill>
    </dxf>
    <dxf>
      <font>
        <name val="Arial"/>
        <family val="0"/>
        <color rgb="FF0000FF"/>
      </font>
      <fill>
        <patternFill>
          <bgColor rgb="FFFFFF99"/>
        </patternFill>
      </fill>
    </dxf>
    <dxf>
      <font>
        <name val="Arial"/>
        <family val="0"/>
        <color rgb="FF969696"/>
      </font>
    </dxf>
    <dxf>
      <font>
        <name val="Arial"/>
        <family val="0"/>
        <color rgb="FFC0C0C0"/>
      </font>
    </dxf>
    <dxf>
      <font>
        <name val="Arial"/>
        <family val="0"/>
        <color rgb="00FFFFFF"/>
      </font>
      <fill>
        <patternFill/>
      </fill>
    </dxf>
    <dxf>
      <font>
        <name val="Arial"/>
        <family val="0"/>
        <color rgb="FFC0C0C0"/>
      </font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FF0000FF"/>
      </font>
      <fill>
        <patternFill>
          <bgColor rgb="FFFFFF99"/>
        </patternFill>
      </fill>
    </dxf>
    <dxf>
      <font>
        <name val="Arial"/>
        <family val="0"/>
        <color rgb="FFC0C0C0"/>
      </font>
      <fill>
        <patternFill/>
      </fill>
    </dxf>
    <dxf>
      <font>
        <name val="Arial"/>
        <family val="0"/>
        <color rgb="FF969696"/>
      </font>
      <fill>
        <patternFill>
          <bgColor rgb="FFC0C0C0"/>
        </patternFill>
      </fill>
    </dxf>
    <dxf>
      <font>
        <name val="Arial"/>
        <family val="0"/>
        <color rgb="FF969696"/>
      </font>
      <fill>
        <patternFill>
          <bgColor rgb="FFC0C0C0"/>
        </patternFill>
      </fill>
    </dxf>
    <dxf>
      <font>
        <name val="Arial"/>
        <family val="0"/>
        <color rgb="FFC0C0C0"/>
      </font>
    </dxf>
    <dxf>
      <font>
        <name val="Arial"/>
        <family val="0"/>
        <color rgb="FF0000FF"/>
      </font>
      <fill>
        <patternFill>
          <bgColor rgb="FFFFFF99"/>
        </patternFill>
      </fill>
    </dxf>
    <dxf>
      <font>
        <name val="Arial"/>
        <family val="0"/>
        <color rgb="FFC0C0C0"/>
      </font>
      <fill>
        <patternFill/>
      </fill>
    </dxf>
    <dxf>
      <font>
        <name val="Arial"/>
        <family val="0"/>
        <color rgb="FFC0C0C0"/>
      </font>
    </dxf>
    <dxf>
      <font>
        <name val="Arial"/>
        <family val="0"/>
        <color rgb="00FFFFFF"/>
      </font>
    </dxf>
    <dxf>
      <font>
        <name val="Arial"/>
        <family val="0"/>
        <color rgb="FFC0C0C0"/>
      </font>
    </dxf>
    <dxf>
      <font>
        <name val="Arial"/>
        <family val="0"/>
        <color rgb="FFC0C0C0"/>
      </font>
    </dxf>
    <dxf>
      <font>
        <name val="Arial"/>
        <family val="0"/>
        <color rgb="FFC0C0C0"/>
      </font>
    </dxf>
    <dxf>
      <font>
        <name val="Arial"/>
        <family val="0"/>
        <color rgb="FFC0C0C0"/>
      </font>
    </dxf>
    <dxf>
      <font>
        <name val="Arial"/>
        <family val="0"/>
        <color rgb="FFC0C0C0"/>
      </font>
    </dxf>
    <dxf>
      <font>
        <name val="Arial"/>
        <family val="0"/>
        <color rgb="FFFF0000"/>
      </font>
    </dxf>
    <dxf>
      <font>
        <name val="Arial"/>
        <family val="0"/>
        <color rgb="FFC0C0C0"/>
      </font>
    </dxf>
    <dxf>
      <font>
        <name val="Arial"/>
        <family val="0"/>
        <color rgb="00FFFFFF"/>
      </font>
      <fill>
        <patternFill>
          <bgColor rgb="FF00CC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Curve Analysis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1781737193764"/>
          <c:y val="0.152986590816741"/>
          <c:w val="0.952561247216036"/>
          <c:h val="0.716984965461195"/>
        </c:manualLayout>
      </c:layout>
      <c:lineChart>
        <c:grouping val="standard"/>
        <c:varyColors val="0"/>
        <c:ser>
          <c:idx val="0"/>
          <c:order val="0"/>
          <c:tx>
            <c:strRef>
              <c:f>Control!$C$31</c:f>
              <c:strCache>
                <c:ptCount val="1"/>
                <c:pt idx="0">
                  <c:v>IF-ELPO/SJ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[0]!Chart_Date</c:f>
              <c:strCache>
                <c:ptCount val="0"/>
              </c:strCache>
            </c:strRef>
          </c:cat>
          <c:val>
            <c:numRef>
              <c:f>[0]!Chart_Rec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Control!$F$31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cat>
            <c:strRef>
              <c:f>[0]!Chart_Date</c:f>
              <c:strCache>
                <c:ptCount val="0"/>
              </c:strCache>
            </c:strRef>
          </c:cat>
          <c:val>
            <c:numRef>
              <c:f>[0]!Chart_Del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623725"/>
        <c:axId val="70940972"/>
      </c:lineChart>
      <c:catAx>
        <c:axId val="776237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40972"/>
        <c:crossesAt val="0"/>
        <c:auto val="1"/>
        <c:lblAlgn val="ctr"/>
        <c:lblOffset val="100"/>
        <c:noMultiLvlLbl val="0"/>
      </c:catAx>
      <c:valAx>
        <c:axId val="709409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2372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04008908685969"/>
          <c:y val="0.815115806582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679320</xdr:colOff>
          <xdr:row>19</xdr:row>
          <xdr:rowOff>133560</xdr:rowOff>
        </xdr:from>
        <xdr:to>
          <xdr:col>13</xdr:col>
          <xdr:colOff>238320</xdr:colOff>
          <xdr:row>21</xdr:row>
          <xdr:rowOff>9360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1262520</xdr:colOff>
          <xdr:row>24</xdr:row>
          <xdr:rowOff>9720</xdr:rowOff>
        </xdr:from>
        <xdr:to>
          <xdr:col>8</xdr:col>
          <xdr:colOff>831600</xdr:colOff>
          <xdr:row>25</xdr:row>
          <xdr:rowOff>57240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81360</xdr:colOff>
          <xdr:row>24</xdr:row>
          <xdr:rowOff>9720</xdr:rowOff>
        </xdr:from>
        <xdr:to>
          <xdr:col>12</xdr:col>
          <xdr:colOff>742320</xdr:colOff>
          <xdr:row>25</xdr:row>
          <xdr:rowOff>47880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94320</xdr:colOff>
          <xdr:row>24</xdr:row>
          <xdr:rowOff>9720</xdr:rowOff>
        </xdr:from>
        <xdr:to>
          <xdr:col>18</xdr:col>
          <xdr:colOff>116640</xdr:colOff>
          <xdr:row>25</xdr:row>
          <xdr:rowOff>47880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81000</xdr:colOff>
          <xdr:row>14</xdr:row>
          <xdr:rowOff>66240</xdr:rowOff>
        </xdr:from>
        <xdr:to>
          <xdr:col>3</xdr:col>
          <xdr:colOff>504000</xdr:colOff>
          <xdr:row>17</xdr:row>
          <xdr:rowOff>76320</xdr:rowOff>
        </xdr:to>
        <xdr:sp>
          <xdr:nvSpPr>
            <xdr:cNvPr id="1001" name="Button 40" descr="Press to 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Press to Update Curves</a:t>
              </a:r>
            </a:p>
          </xdr:txBody>
        </xdr:sp>
        <xdr:clientData/>
      </xdr:twoCellAnchor>
    </mc:Choice>
  </mc:AlternateContent>
  <xdr:twoCellAnchor editAs="oneCell">
    <xdr:from>
      <xdr:col>4</xdr:col>
      <xdr:colOff>0</xdr:colOff>
      <xdr:row>14</xdr:row>
      <xdr:rowOff>0</xdr:rowOff>
    </xdr:from>
    <xdr:to>
      <xdr:col>6</xdr:col>
      <xdr:colOff>996480</xdr:colOff>
      <xdr:row>17</xdr:row>
      <xdr:rowOff>28800</xdr:rowOff>
    </xdr:to>
    <xdr:sp>
      <xdr:nvSpPr>
        <xdr:cNvPr id="0" name="Rectangle 43"/>
        <xdr:cNvSpPr/>
      </xdr:nvSpPr>
      <xdr:spPr>
        <a:xfrm>
          <a:off x="3531240" y="2305080"/>
          <a:ext cx="2908440" cy="6098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6</xdr:row>
      <xdr:rowOff>0</xdr:rowOff>
    </xdr:from>
    <xdr:to>
      <xdr:col>6</xdr:col>
      <xdr:colOff>996480</xdr:colOff>
      <xdr:row>13</xdr:row>
      <xdr:rowOff>9360</xdr:rowOff>
    </xdr:to>
    <xdr:sp>
      <xdr:nvSpPr>
        <xdr:cNvPr id="1" name="Rectangle 44"/>
        <xdr:cNvSpPr/>
      </xdr:nvSpPr>
      <xdr:spPr>
        <a:xfrm>
          <a:off x="170280" y="619200"/>
          <a:ext cx="6269400" cy="1533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60840</xdr:colOff>
          <xdr:row>24</xdr:row>
          <xdr:rowOff>86040</xdr:rowOff>
        </xdr:from>
        <xdr:to>
          <xdr:col>5</xdr:col>
          <xdr:colOff>1088280</xdr:colOff>
          <xdr:row>26</xdr:row>
          <xdr:rowOff>75960</xdr:rowOff>
        </xdr:to>
        <xdr:sp>
          <xdr:nvSpPr>
            <xdr:cNvPr id="1001" name="Button 1" descr="Press to 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Press to Update Curves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0</xdr:colOff>
      <xdr:row>2</xdr:row>
      <xdr:rowOff>0</xdr:rowOff>
    </xdr:from>
    <xdr:to>
      <xdr:col>5</xdr:col>
      <xdr:colOff>1308240</xdr:colOff>
      <xdr:row>13</xdr:row>
      <xdr:rowOff>56880</xdr:rowOff>
    </xdr:to>
    <xdr:sp>
      <xdr:nvSpPr>
        <xdr:cNvPr id="2" name="Rectangle 17"/>
        <xdr:cNvSpPr/>
      </xdr:nvSpPr>
      <xdr:spPr>
        <a:xfrm>
          <a:off x="281160" y="324000"/>
          <a:ext cx="6455160" cy="1866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24</xdr:row>
      <xdr:rowOff>9360</xdr:rowOff>
    </xdr:from>
    <xdr:to>
      <xdr:col>5</xdr:col>
      <xdr:colOff>1308240</xdr:colOff>
      <xdr:row>39</xdr:row>
      <xdr:rowOff>114480</xdr:rowOff>
    </xdr:to>
    <xdr:sp>
      <xdr:nvSpPr>
        <xdr:cNvPr id="3" name="Rectangle 18"/>
        <xdr:cNvSpPr/>
      </xdr:nvSpPr>
      <xdr:spPr>
        <a:xfrm>
          <a:off x="281160" y="4105080"/>
          <a:ext cx="6455160" cy="2534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16</xdr:row>
      <xdr:rowOff>9720</xdr:rowOff>
    </xdr:from>
    <xdr:to>
      <xdr:col>3</xdr:col>
      <xdr:colOff>720</xdr:colOff>
      <xdr:row>21</xdr:row>
      <xdr:rowOff>18720</xdr:rowOff>
    </xdr:to>
    <xdr:sp>
      <xdr:nvSpPr>
        <xdr:cNvPr id="4" name="Rectangle 20"/>
        <xdr:cNvSpPr/>
      </xdr:nvSpPr>
      <xdr:spPr>
        <a:xfrm>
          <a:off x="281160" y="2800440"/>
          <a:ext cx="2909160" cy="828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9720</xdr:rowOff>
    </xdr:from>
    <xdr:to>
      <xdr:col>5</xdr:col>
      <xdr:colOff>1308240</xdr:colOff>
      <xdr:row>21</xdr:row>
      <xdr:rowOff>18720</xdr:rowOff>
    </xdr:to>
    <xdr:sp>
      <xdr:nvSpPr>
        <xdr:cNvPr id="5" name="Rectangle 21"/>
        <xdr:cNvSpPr/>
      </xdr:nvSpPr>
      <xdr:spPr>
        <a:xfrm>
          <a:off x="3827880" y="2800440"/>
          <a:ext cx="2908440" cy="828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10</xdr:col>
      <xdr:colOff>720</xdr:colOff>
      <xdr:row>5</xdr:row>
      <xdr:rowOff>47520</xdr:rowOff>
    </xdr:to>
    <xdr:sp>
      <xdr:nvSpPr>
        <xdr:cNvPr id="6" name="Rectangle 66"/>
        <xdr:cNvSpPr/>
      </xdr:nvSpPr>
      <xdr:spPr>
        <a:xfrm>
          <a:off x="7228080" y="162000"/>
          <a:ext cx="2597400" cy="695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152640</xdr:rowOff>
    </xdr:from>
    <xdr:to>
      <xdr:col>10</xdr:col>
      <xdr:colOff>10440</xdr:colOff>
      <xdr:row>14</xdr:row>
      <xdr:rowOff>28800</xdr:rowOff>
    </xdr:to>
    <xdr:sp>
      <xdr:nvSpPr>
        <xdr:cNvPr id="7" name="Rectangle 67"/>
        <xdr:cNvSpPr/>
      </xdr:nvSpPr>
      <xdr:spPr>
        <a:xfrm>
          <a:off x="7228080" y="1133640"/>
          <a:ext cx="2607120" cy="11905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6</xdr:col>
      <xdr:colOff>10440</xdr:colOff>
      <xdr:row>53</xdr:row>
      <xdr:rowOff>152280</xdr:rowOff>
    </xdr:to>
    <xdr:graphicFrame>
      <xdr:nvGraphicFramePr>
        <xdr:cNvPr id="8" name="Chart 79"/>
        <xdr:cNvGraphicFramePr/>
      </xdr:nvGraphicFramePr>
      <xdr:xfrm>
        <a:off x="281160" y="7172280"/>
        <a:ext cx="6465240" cy="17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200520</xdr:colOff>
          <xdr:row>15</xdr:row>
          <xdr:rowOff>0</xdr:rowOff>
        </xdr:from>
        <xdr:to>
          <xdr:col>10</xdr:col>
          <xdr:colOff>720</xdr:colOff>
          <xdr:row>16</xdr:row>
          <xdr:rowOff>142920</xdr:rowOff>
        </xdr:to>
        <xdr:sp>
          <xdr:nvSpPr>
            <xdr:cNvPr id="1002" name="Button 80" descr="Press to Print Full Page Chart Onl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Press to Print Full Page Chart Only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190440</xdr:colOff>
      <xdr:row>18</xdr:row>
      <xdr:rowOff>66600</xdr:rowOff>
    </xdr:from>
    <xdr:to>
      <xdr:col>10</xdr:col>
      <xdr:colOff>279720</xdr:colOff>
      <xdr:row>40</xdr:row>
      <xdr:rowOff>162000</xdr:rowOff>
    </xdr:to>
    <xdr:sp>
      <xdr:nvSpPr>
        <xdr:cNvPr id="9" name="Text 82"/>
        <xdr:cNvSpPr/>
      </xdr:nvSpPr>
      <xdr:spPr>
        <a:xfrm>
          <a:off x="7207920" y="3190680"/>
          <a:ext cx="2896560" cy="36579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900" strike="noStrike" u="none">
              <a:effectLst/>
              <a:uFillTx/>
              <a:latin typeface="Arial"/>
            </a:rPr>
            <a:t>Instructions: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Arial"/>
            </a:rPr>
            <a:t>Blue Font </a:t>
          </a:r>
          <a:r>
            <a:rPr b="1" lang="en-US" sz="900" strike="noStrike" u="none">
              <a:effectLst/>
              <a:uFillTx/>
              <a:latin typeface="Arial"/>
            </a:rPr>
            <a:t>requires user inputs.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Black Font indicates cells which update automatically or do not require user to initiate changes.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Cells with yellow background indicate valuation outputs.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1)  Input deal length and volumes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2)  Entire desired mid curve date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3)  Choose desired receipt and delivery point curves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4) Choose which cells to customize, if any, and input customization on the custom curves page.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5)  Press update curves and check for any warning flags.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50040</xdr:colOff>
          <xdr:row>8</xdr:row>
          <xdr:rowOff>38160</xdr:rowOff>
        </xdr:from>
        <xdr:to>
          <xdr:col>2</xdr:col>
          <xdr:colOff>30600</xdr:colOff>
          <xdr:row>10</xdr:row>
          <xdr:rowOff>28440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date"/>
      <definedName name="eomonth"/>
      <definedName name="WORKDAY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<Relationship Id="rId5" Type="http://schemas.openxmlformats.org/officeDocument/2006/relationships/ctrlProp" Target="../ctrlProps/ctrlProps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42"/>
    <col collapsed="false" customWidth="true" hidden="false" outlineLevel="0" max="2" min="2" style="1" width="18.99"/>
    <col collapsed="false" customWidth="true" hidden="false" outlineLevel="0" max="3" min="3" style="1" width="13.28"/>
    <col collapsed="false" customWidth="true" hidden="false" outlineLevel="0" max="4" min="4" style="1" width="15.41"/>
    <col collapsed="false" customWidth="true" hidden="false" outlineLevel="0" max="5" min="5" style="1" width="12.99"/>
    <col collapsed="false" customWidth="true" hidden="false" outlineLevel="0" max="7" min="6" style="1" width="14.14"/>
    <col collapsed="false" customWidth="true" hidden="false" outlineLevel="0" max="8" min="8" style="1" width="2.84"/>
    <col collapsed="false" customWidth="true" hidden="false" outlineLevel="0" max="9" min="9" style="1" width="15.56"/>
    <col collapsed="false" customWidth="true" hidden="false" outlineLevel="0" max="10" min="10" style="1" width="13.14"/>
    <col collapsed="false" customWidth="true" hidden="false" outlineLevel="0" max="12" min="11" style="1" width="12.85"/>
    <col collapsed="false" customWidth="true" hidden="false" outlineLevel="0" max="13" min="13" style="1" width="14.7"/>
    <col collapsed="false" customWidth="true" hidden="false" outlineLevel="0" max="14" min="14" style="1" width="14.85"/>
    <col collapsed="false" customWidth="true" hidden="false" outlineLevel="0" max="16" min="15" style="1" width="11.85"/>
    <col collapsed="false" customWidth="true" hidden="false" outlineLevel="0" max="17" min="17" style="1" width="14.7"/>
    <col collapsed="false" customWidth="true" hidden="false" outlineLevel="0" max="18" min="18" style="1" width="14.85"/>
    <col collapsed="false" customWidth="true" hidden="false" outlineLevel="0" max="20" min="19" style="1" width="11.85"/>
    <col collapsed="false" customWidth="true" hidden="false" outlineLevel="0" max="21" min="21" style="1" width="13.7"/>
    <col collapsed="false" customWidth="true" hidden="false" outlineLevel="0" max="22" min="22" style="2" width="4.56"/>
    <col collapsed="false" customWidth="true" hidden="false" outlineLevel="0" max="23" min="23" style="1" width="14.56"/>
    <col collapsed="false" customWidth="true" hidden="false" outlineLevel="0" max="24" min="24" style="1" width="12.28"/>
    <col collapsed="false" customWidth="true" hidden="false" outlineLevel="0" max="28" min="25" style="1" width="14.85"/>
    <col collapsed="false" customWidth="true" hidden="false" outlineLevel="0" max="29" min="29" style="1" width="4.41"/>
    <col collapsed="false" customWidth="true" hidden="false" outlineLevel="0" max="30" min="30" style="1" width="14.56"/>
    <col collapsed="false" customWidth="true" hidden="false" outlineLevel="0" max="34" min="31" style="1" width="12.28"/>
    <col collapsed="false" customWidth="true" hidden="false" outlineLevel="0" max="35" min="35" style="1" width="14.85"/>
    <col collapsed="false" customWidth="true" hidden="false" outlineLevel="0" max="36" min="36" style="1" width="11.28"/>
    <col collapsed="false" customWidth="true" hidden="false" outlineLevel="0" max="37" min="37" style="1" width="10.28"/>
    <col collapsed="false" customWidth="false" hidden="false" outlineLevel="0" max="38" min="38" style="1" width="9.14"/>
    <col collapsed="false" customWidth="true" hidden="false" outlineLevel="0" max="39" min="39" style="1" width="11.85"/>
    <col collapsed="false" customWidth="true" hidden="false" outlineLevel="0" max="40" min="40" style="1" width="15.56"/>
    <col collapsed="false" customWidth="true" hidden="false" outlineLevel="0" max="41" min="41" style="1" width="10.28"/>
    <col collapsed="false" customWidth="false" hidden="false" outlineLevel="0" max="43" min="42" style="1" width="9.14"/>
    <col collapsed="false" customWidth="true" hidden="false" outlineLevel="0" max="44" min="44" style="1" width="11.56"/>
    <col collapsed="false" customWidth="false" hidden="false" outlineLevel="0" max="53" min="45" style="1" width="9.14"/>
    <col collapsed="false" customWidth="true" hidden="false" outlineLevel="0" max="54" min="54" style="1" width="38.85"/>
    <col collapsed="false" customWidth="false" hidden="false" outlineLevel="0" max="257" min="55" style="1" width="9.14"/>
  </cols>
  <sheetData>
    <row r="1" customFormat="false" ht="19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3.75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4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true" customHeight="false" outlineLevel="0" collapsed="false">
      <c r="A3" s="0"/>
      <c r="C3" s="5"/>
      <c r="D3" s="6"/>
      <c r="E3" s="6"/>
      <c r="F3" s="6"/>
      <c r="G3" s="0"/>
      <c r="H3" s="0"/>
      <c r="I3" s="0"/>
      <c r="X3" s="0"/>
      <c r="Y3" s="0"/>
      <c r="Z3" s="0"/>
      <c r="AA3" s="0"/>
      <c r="AB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true" customHeight="false" outlineLevel="0" collapsed="false">
      <c r="A4" s="0"/>
      <c r="B4" s="0"/>
      <c r="C4" s="6"/>
      <c r="D4" s="6"/>
      <c r="E4" s="6"/>
      <c r="F4" s="6"/>
      <c r="G4" s="0"/>
      <c r="H4" s="0"/>
      <c r="I4" s="0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0"/>
      <c r="Y4" s="0"/>
      <c r="Z4" s="0"/>
      <c r="AA4" s="0"/>
      <c r="AB4" s="0"/>
      <c r="AC4" s="8"/>
      <c r="AD4" s="8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true" outlineLevel="0" collapsed="false">
      <c r="A5" s="0"/>
      <c r="B5" s="0"/>
      <c r="C5" s="9"/>
      <c r="D5" s="6"/>
      <c r="E5" s="6"/>
      <c r="F5" s="6"/>
      <c r="G5" s="0"/>
      <c r="H5" s="0"/>
      <c r="I5" s="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0"/>
      <c r="Y5" s="0"/>
      <c r="Z5" s="0"/>
      <c r="AA5" s="0"/>
      <c r="AB5" s="0"/>
      <c r="AC5" s="10"/>
      <c r="AD5" s="1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0"/>
      <c r="B6" s="11"/>
      <c r="C6" s="0"/>
      <c r="D6" s="12"/>
      <c r="E6" s="0"/>
      <c r="F6" s="0"/>
      <c r="G6" s="0"/>
      <c r="H6" s="0"/>
      <c r="I6" s="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3"/>
      <c r="V6" s="13"/>
      <c r="W6" s="13"/>
      <c r="X6" s="13"/>
      <c r="Y6" s="13"/>
      <c r="Z6" s="13"/>
      <c r="AA6" s="13"/>
      <c r="AB6" s="13"/>
      <c r="AC6" s="13"/>
      <c r="AD6" s="13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7.25" hidden="false" customHeight="true" outlineLevel="0" collapsed="false">
      <c r="A7" s="0"/>
      <c r="B7" s="14"/>
      <c r="C7" s="15" t="s">
        <v>1</v>
      </c>
      <c r="D7" s="15"/>
      <c r="E7" s="15" t="s">
        <v>2</v>
      </c>
      <c r="F7" s="16"/>
      <c r="G7" s="15" t="s">
        <v>3</v>
      </c>
      <c r="H7" s="0"/>
      <c r="I7" s="7" t="e">
        <f aca="false">Control!B56</f>
        <v>#VALUE!</v>
      </c>
      <c r="J7" s="17"/>
      <c r="K7" s="18"/>
      <c r="L7" s="18"/>
      <c r="M7" s="18"/>
      <c r="N7" s="10"/>
      <c r="O7" s="10"/>
      <c r="P7" s="10"/>
      <c r="Q7" s="18"/>
      <c r="R7" s="10"/>
      <c r="S7" s="10"/>
      <c r="T7" s="10"/>
      <c r="U7" s="13"/>
      <c r="V7" s="13"/>
      <c r="W7" s="13"/>
      <c r="X7" s="13"/>
      <c r="Y7" s="13"/>
      <c r="Z7" s="13"/>
      <c r="AA7" s="13"/>
      <c r="AB7" s="13"/>
      <c r="AC7" s="13"/>
      <c r="AD7" s="13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6.5" hidden="false" customHeight="true" outlineLevel="0" collapsed="false">
      <c r="A8" s="0"/>
      <c r="B8" s="19" t="s">
        <v>4</v>
      </c>
      <c r="C8" s="20" t="n">
        <v>37226</v>
      </c>
      <c r="D8" s="21" t="s">
        <v>5</v>
      </c>
      <c r="E8" s="22" t="e">
        <f aca="false">SUM($AI$29:$AI$182)/SUM($F$29:$F$182)</f>
        <v>#NAME?</v>
      </c>
      <c r="F8" s="21" t="s">
        <v>6</v>
      </c>
      <c r="G8" s="22" t="e">
        <f aca="false">SUM($AD$29:$AD$182)/SUM($G$29:$G$182)</f>
        <v>#VALUE!</v>
      </c>
      <c r="H8" s="0"/>
      <c r="I8" s="23" t="str">
        <f aca="false">Control!B57</f>
        <v/>
      </c>
      <c r="J8" s="24"/>
      <c r="K8" s="25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0"/>
      <c r="Y8" s="0"/>
      <c r="Z8" s="0"/>
      <c r="AA8" s="0"/>
      <c r="AB8" s="0"/>
      <c r="AC8" s="10"/>
      <c r="AD8" s="1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7.25" hidden="false" customHeight="true" outlineLevel="0" collapsed="false">
      <c r="A9" s="0"/>
      <c r="B9" s="19" t="s">
        <v>7</v>
      </c>
      <c r="C9" s="20" t="n">
        <v>37346</v>
      </c>
      <c r="D9" s="21"/>
      <c r="E9" s="21"/>
      <c r="F9" s="21" t="s">
        <v>8</v>
      </c>
      <c r="G9" s="22" t="e">
        <f aca="false">SUM($AE$29:$AE$182)/SUM($G$29:$G$182)</f>
        <v>#VALUE!</v>
      </c>
      <c r="H9" s="0"/>
      <c r="I9" s="23" t="str">
        <f aca="false">Control!B58</f>
        <v/>
      </c>
      <c r="J9" s="24"/>
      <c r="K9" s="2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0"/>
      <c r="Y9" s="0"/>
      <c r="Z9" s="0"/>
      <c r="AA9" s="0"/>
      <c r="AB9" s="0"/>
      <c r="AC9" s="10"/>
      <c r="AD9" s="1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7" t="s">
        <v>9</v>
      </c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7.25" hidden="false" customHeight="true" outlineLevel="0" collapsed="false">
      <c r="A10" s="0"/>
      <c r="B10" s="19" t="s">
        <v>10</v>
      </c>
      <c r="C10" s="28" t="s">
        <v>11</v>
      </c>
      <c r="D10" s="21"/>
      <c r="E10" s="29"/>
      <c r="F10" s="21" t="s">
        <v>12</v>
      </c>
      <c r="G10" s="30" t="e">
        <f aca="false">SUM($AF$29:$AF$182)/SUM($G$29:$G$182)</f>
        <v>#VALUE!</v>
      </c>
      <c r="H10" s="0"/>
      <c r="I10" s="23" t="e">
        <f aca="false">Control!B61</f>
        <v>#VALUE!</v>
      </c>
      <c r="J10" s="24"/>
      <c r="K10" s="26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0"/>
      <c r="Y10" s="0"/>
      <c r="Z10" s="0"/>
      <c r="AA10" s="0"/>
      <c r="AB10" s="0"/>
      <c r="AC10" s="10"/>
      <c r="AD10" s="1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7.25" hidden="false" customHeight="true" outlineLevel="0" collapsed="false">
      <c r="A11" s="0"/>
      <c r="B11" s="19" t="s">
        <v>13</v>
      </c>
      <c r="C11" s="28" t="s">
        <v>14</v>
      </c>
      <c r="D11" s="21" t="s">
        <v>15</v>
      </c>
      <c r="E11" s="31" t="e">
        <f aca="false">SUM($AI$29:$AI$182)</f>
        <v>#NAME?</v>
      </c>
      <c r="F11" s="21" t="s">
        <v>16</v>
      </c>
      <c r="G11" s="32" t="e">
        <f aca="false">SUM(G8:G10)</f>
        <v>#VALUE!</v>
      </c>
      <c r="H11" s="0"/>
      <c r="I11" s="8"/>
      <c r="J11" s="24"/>
      <c r="K11" s="2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0"/>
      <c r="Y11" s="0"/>
      <c r="Z11" s="0"/>
      <c r="AA11" s="0"/>
      <c r="AB11" s="0"/>
      <c r="AC11" s="10"/>
      <c r="AD11" s="1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 t="s">
        <v>14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7.25" hidden="false" customHeight="true" outlineLevel="0" collapsed="false">
      <c r="A12" s="0"/>
      <c r="B12" s="19" t="s">
        <v>17</v>
      </c>
      <c r="C12" s="20" t="n">
        <v>37196</v>
      </c>
      <c r="D12" s="33"/>
      <c r="E12" s="33"/>
      <c r="F12" s="21" t="s">
        <v>3</v>
      </c>
      <c r="G12" s="32" t="e">
        <f aca="false">SUM(AH29:AH182)/SUM(G29:G182)</f>
        <v>#VALUE!</v>
      </c>
      <c r="H12" s="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0"/>
      <c r="Y12" s="0"/>
      <c r="Z12" s="0"/>
      <c r="AA12" s="0"/>
      <c r="AB12" s="0"/>
      <c r="AC12" s="10"/>
      <c r="AD12" s="1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 t="s">
        <v>18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7.25" hidden="false" customHeight="true" outlineLevel="0" collapsed="false">
      <c r="A13" s="0"/>
      <c r="B13" s="19" t="str">
        <f aca="false">IF($C$10="Call","Strike OTM (ITM)","Strike ITM (OTM)")</f>
        <v>Strike OTM (ITM)</v>
      </c>
      <c r="C13" s="34" t="n">
        <v>0</v>
      </c>
      <c r="D13" s="33"/>
      <c r="E13" s="33"/>
      <c r="F13" s="21"/>
      <c r="G13" s="21"/>
      <c r="H13" s="0"/>
      <c r="I13" s="8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0"/>
      <c r="Y13" s="0"/>
      <c r="Z13" s="0"/>
      <c r="AA13" s="0"/>
      <c r="AB13" s="0"/>
      <c r="AC13" s="10"/>
      <c r="AD13" s="1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0"/>
      <c r="Y14" s="0"/>
      <c r="Z14" s="0"/>
      <c r="AA14" s="0"/>
      <c r="AB14" s="0"/>
      <c r="AC14" s="10"/>
      <c r="AD14" s="1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20.25" hidden="false" customHeight="false" outlineLevel="0" collapsed="false">
      <c r="A15" s="0"/>
      <c r="B15" s="0"/>
      <c r="C15" s="0"/>
      <c r="E15" s="35" t="s">
        <v>19</v>
      </c>
      <c r="F15" s="36"/>
      <c r="G15" s="37"/>
      <c r="H15" s="0"/>
      <c r="I15" s="8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0"/>
      <c r="Y15" s="0"/>
      <c r="Z15" s="0"/>
      <c r="AA15" s="0"/>
      <c r="AB15" s="0"/>
      <c r="AC15" s="10"/>
      <c r="AD15" s="1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 t="s">
        <v>20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38"/>
      <c r="C16" s="0"/>
      <c r="E16" s="39" t="s">
        <v>21</v>
      </c>
      <c r="F16" s="0"/>
      <c r="G16" s="40" t="n">
        <v>0</v>
      </c>
      <c r="H16" s="0"/>
      <c r="I16" s="0"/>
      <c r="J16" s="10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0"/>
      <c r="Y16" s="0"/>
      <c r="Z16" s="0"/>
      <c r="AA16" s="0"/>
      <c r="AB16" s="0"/>
      <c r="AC16" s="41"/>
      <c r="AD16" s="41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 t="s">
        <v>11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0"/>
      <c r="C17" s="0"/>
      <c r="E17" s="42" t="s">
        <v>22</v>
      </c>
      <c r="F17" s="43"/>
      <c r="G17" s="44" t="e">
        <f aca="false">SUM($G$29:$G$182)*G16</f>
        <v>#VALUE!</v>
      </c>
      <c r="H17" s="0"/>
      <c r="I17" s="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0"/>
      <c r="Y17" s="0"/>
      <c r="Z17" s="0"/>
      <c r="AA17" s="0"/>
      <c r="AB17" s="0"/>
      <c r="AC17" s="10"/>
      <c r="AD17" s="1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3.5" hidden="false" customHeight="tru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0"/>
      <c r="Y18" s="0"/>
      <c r="Z18" s="0"/>
      <c r="AA18" s="0"/>
      <c r="AB18" s="0"/>
      <c r="AC18" s="10"/>
      <c r="AD18" s="1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 t="s">
        <v>23</v>
      </c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5.75" hidden="true" customHeight="false" outlineLevel="0" collapsed="false">
      <c r="A19" s="0"/>
      <c r="B19" s="0"/>
      <c r="C19" s="4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4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 t="s">
        <v>24</v>
      </c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4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true" customHeight="false" outlineLevel="0" collapsed="false">
      <c r="A21" s="0"/>
      <c r="B21" s="0"/>
      <c r="C21" s="0"/>
      <c r="D21" s="46"/>
      <c r="E21" s="47"/>
      <c r="F21" s="48"/>
      <c r="G21" s="48"/>
      <c r="H21" s="49"/>
      <c r="I21" s="50"/>
      <c r="W21" s="0"/>
      <c r="X21" s="0"/>
      <c r="Y21" s="0"/>
      <c r="Z21" s="0"/>
      <c r="AA21" s="0"/>
      <c r="AB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0"/>
      <c r="C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4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0"/>
      <c r="C23" s="0"/>
      <c r="D23" s="51" t="s">
        <v>25</v>
      </c>
      <c r="E23" s="51"/>
      <c r="F23" s="51"/>
      <c r="G23" s="51"/>
      <c r="H23" s="0"/>
      <c r="I23" s="52" t="s">
        <v>26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3"/>
      <c r="W23" s="54" t="s">
        <v>27</v>
      </c>
      <c r="X23" s="54"/>
      <c r="Y23" s="54"/>
      <c r="Z23" s="54"/>
      <c r="AA23" s="54"/>
      <c r="AB23" s="54"/>
      <c r="AC23" s="0"/>
      <c r="AD23" s="52" t="s">
        <v>28</v>
      </c>
      <c r="AE23" s="52"/>
      <c r="AF23" s="52"/>
      <c r="AG23" s="52"/>
      <c r="AH23" s="52"/>
      <c r="AI23" s="52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8" hidden="false" customHeight="true" outlineLevel="0" collapsed="false">
      <c r="A24" s="0"/>
      <c r="B24" s="0"/>
      <c r="C24" s="0"/>
      <c r="D24" s="55" t="s">
        <v>29</v>
      </c>
      <c r="E24" s="56"/>
      <c r="F24" s="57" t="s">
        <v>24</v>
      </c>
      <c r="G24" s="58"/>
      <c r="H24" s="0"/>
      <c r="I24" s="59"/>
      <c r="J24" s="60" t="s">
        <v>30</v>
      </c>
      <c r="K24" s="61"/>
      <c r="L24" s="62"/>
      <c r="N24" s="61"/>
      <c r="O24" s="61"/>
      <c r="P24" s="61"/>
      <c r="Q24" s="61"/>
      <c r="R24" s="61"/>
      <c r="S24" s="61"/>
      <c r="T24" s="61"/>
      <c r="U24" s="63"/>
      <c r="V24" s="8"/>
      <c r="W24" s="59"/>
      <c r="X24" s="61"/>
      <c r="Y24" s="61"/>
      <c r="Z24" s="61"/>
      <c r="AA24" s="61"/>
      <c r="AB24" s="63"/>
      <c r="AC24" s="0"/>
      <c r="AD24" s="59"/>
      <c r="AE24" s="61"/>
      <c r="AF24" s="61"/>
      <c r="AG24" s="61"/>
      <c r="AH24" s="61"/>
      <c r="AI24" s="63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8.75" hidden="false" customHeight="true" outlineLevel="0" collapsed="false">
      <c r="D25" s="64" t="s">
        <v>31</v>
      </c>
      <c r="E25" s="65"/>
      <c r="F25" s="66" t="n">
        <v>5000</v>
      </c>
      <c r="G25" s="67" t="s">
        <v>32</v>
      </c>
      <c r="I25" s="68"/>
      <c r="J25" s="69"/>
      <c r="K25" s="69"/>
      <c r="L25" s="70"/>
      <c r="M25" s="70"/>
      <c r="N25" s="69"/>
      <c r="O25" s="69"/>
      <c r="P25" s="69"/>
      <c r="Q25" s="70"/>
      <c r="R25" s="69"/>
      <c r="S25" s="69"/>
      <c r="T25" s="69"/>
      <c r="U25" s="71"/>
      <c r="V25" s="72"/>
      <c r="W25" s="68"/>
      <c r="X25" s="69"/>
      <c r="Y25" s="69"/>
      <c r="Z25" s="69"/>
      <c r="AA25" s="69"/>
      <c r="AB25" s="71"/>
      <c r="AD25" s="68"/>
      <c r="AE25" s="69"/>
      <c r="AF25" s="69"/>
      <c r="AG25" s="69"/>
      <c r="AH25" s="69"/>
      <c r="AI25" s="71"/>
      <c r="AK25" s="0"/>
      <c r="AL25" s="0"/>
      <c r="AM25" s="0"/>
      <c r="AN25" s="0"/>
      <c r="AO25" s="0"/>
      <c r="AP25" s="0"/>
      <c r="AQ25" s="0"/>
      <c r="AR25" s="0"/>
      <c r="BB25" s="0"/>
    </row>
    <row r="26" customFormat="false" ht="18" hidden="false" customHeight="true" outlineLevel="0" collapsed="false">
      <c r="D26" s="73"/>
      <c r="E26" s="74"/>
      <c r="F26" s="75"/>
      <c r="G26" s="76"/>
      <c r="I26" s="77" t="s">
        <v>33</v>
      </c>
      <c r="J26" s="78"/>
      <c r="K26" s="78"/>
      <c r="L26" s="79"/>
      <c r="M26" s="77" t="s">
        <v>34</v>
      </c>
      <c r="N26" s="78"/>
      <c r="O26" s="78"/>
      <c r="P26" s="80"/>
      <c r="Q26" s="77" t="s">
        <v>35</v>
      </c>
      <c r="R26" s="78"/>
      <c r="S26" s="78"/>
      <c r="T26" s="81" t="s">
        <v>36</v>
      </c>
      <c r="U26" s="82"/>
      <c r="V26" s="72"/>
      <c r="W26" s="68"/>
      <c r="X26" s="69"/>
      <c r="Y26" s="69"/>
      <c r="Z26" s="69"/>
      <c r="AA26" s="69"/>
      <c r="AB26" s="71"/>
      <c r="AD26" s="68"/>
      <c r="AE26" s="69"/>
      <c r="AF26" s="69"/>
      <c r="AG26" s="69"/>
      <c r="AH26" s="69"/>
      <c r="AI26" s="71"/>
      <c r="AK26" s="0"/>
      <c r="AL26" s="0"/>
      <c r="AM26" s="0"/>
      <c r="AN26" s="0"/>
      <c r="AO26" s="0"/>
      <c r="AP26" s="0"/>
      <c r="AQ26" s="0"/>
      <c r="AR26" s="0"/>
      <c r="BB26" s="0"/>
    </row>
    <row r="27" customFormat="false" ht="18.75" hidden="false" customHeight="true" outlineLevel="0" collapsed="false">
      <c r="D27" s="83"/>
      <c r="E27" s="84"/>
      <c r="F27" s="75"/>
      <c r="G27" s="76"/>
      <c r="I27" s="85" t="n">
        <f aca="false">Control!Y26</f>
        <v>1</v>
      </c>
      <c r="J27" s="84"/>
      <c r="K27" s="86"/>
      <c r="L27" s="87"/>
      <c r="M27" s="88" t="n">
        <f aca="false">Control!Y31</f>
        <v>1</v>
      </c>
      <c r="N27" s="84"/>
      <c r="O27" s="84"/>
      <c r="P27" s="76"/>
      <c r="Q27" s="88" t="n">
        <f aca="false">Control!Y37</f>
        <v>1</v>
      </c>
      <c r="R27" s="84"/>
      <c r="S27" s="84"/>
      <c r="T27" s="89" t="s">
        <v>37</v>
      </c>
      <c r="U27" s="90"/>
      <c r="V27" s="72"/>
      <c r="W27" s="64"/>
      <c r="X27" s="65"/>
      <c r="Y27" s="65"/>
      <c r="Z27" s="65"/>
      <c r="AA27" s="65"/>
      <c r="AB27" s="67"/>
      <c r="AD27" s="68"/>
      <c r="AE27" s="69"/>
      <c r="AF27" s="69"/>
      <c r="AG27" s="69"/>
      <c r="AH27" s="69"/>
      <c r="AI27" s="71"/>
      <c r="AK27" s="0"/>
      <c r="AL27" s="0"/>
      <c r="AM27" s="0"/>
      <c r="AN27" s="0"/>
      <c r="AO27" s="0"/>
      <c r="AP27" s="0"/>
      <c r="AQ27" s="0"/>
      <c r="AR27" s="0"/>
      <c r="BB27" s="0"/>
    </row>
    <row r="28" customFormat="false" ht="41.25" hidden="false" customHeight="true" outlineLevel="0" collapsed="false">
      <c r="A28" s="91"/>
      <c r="B28" s="92" t="s">
        <v>38</v>
      </c>
      <c r="C28" s="92" t="s">
        <v>39</v>
      </c>
      <c r="D28" s="93" t="s">
        <v>40</v>
      </c>
      <c r="E28" s="94" t="s">
        <v>41</v>
      </c>
      <c r="F28" s="94" t="s">
        <v>42</v>
      </c>
      <c r="G28" s="95" t="s">
        <v>43</v>
      </c>
      <c r="H28" s="96"/>
      <c r="I28" s="97" t="s">
        <v>44</v>
      </c>
      <c r="J28" s="98" t="s">
        <v>45</v>
      </c>
      <c r="K28" s="98" t="s">
        <v>46</v>
      </c>
      <c r="L28" s="99" t="s">
        <v>47</v>
      </c>
      <c r="M28" s="97" t="s">
        <v>44</v>
      </c>
      <c r="N28" s="98" t="s">
        <v>45</v>
      </c>
      <c r="O28" s="98" t="s">
        <v>46</v>
      </c>
      <c r="P28" s="99" t="s">
        <v>48</v>
      </c>
      <c r="Q28" s="97" t="s">
        <v>44</v>
      </c>
      <c r="R28" s="98" t="s">
        <v>45</v>
      </c>
      <c r="S28" s="98" t="s">
        <v>46</v>
      </c>
      <c r="T28" s="99" t="s">
        <v>49</v>
      </c>
      <c r="U28" s="100" t="s">
        <v>50</v>
      </c>
      <c r="V28" s="101"/>
      <c r="W28" s="102" t="s">
        <v>51</v>
      </c>
      <c r="X28" s="103" t="s">
        <v>46</v>
      </c>
      <c r="Y28" s="103" t="s">
        <v>52</v>
      </c>
      <c r="Z28" s="103" t="str">
        <f aca="false">IF($C$10="Call","Out of (In) the Money Position","In (Out of) the Money Position")</f>
        <v>Out of (In) the Money Position</v>
      </c>
      <c r="AA28" s="103" t="s">
        <v>3</v>
      </c>
      <c r="AB28" s="104" t="s">
        <v>53</v>
      </c>
      <c r="AC28" s="105"/>
      <c r="AD28" s="106" t="s">
        <v>54</v>
      </c>
      <c r="AE28" s="107" t="s">
        <v>8</v>
      </c>
      <c r="AF28" s="107" t="s">
        <v>12</v>
      </c>
      <c r="AG28" s="107" t="s">
        <v>55</v>
      </c>
      <c r="AH28" s="107" t="s">
        <v>3</v>
      </c>
      <c r="AI28" s="104" t="s">
        <v>15</v>
      </c>
      <c r="AJ28" s="91"/>
      <c r="AK28" s="0"/>
      <c r="AL28" s="0"/>
      <c r="AM28" s="0"/>
      <c r="AN28" s="0"/>
      <c r="AO28" s="0"/>
      <c r="AP28" s="0"/>
      <c r="AQ28" s="0"/>
      <c r="AR28" s="0"/>
      <c r="AS28" s="91"/>
      <c r="AT28" s="91"/>
      <c r="AU28" s="91"/>
      <c r="AV28" s="91"/>
      <c r="AW28" s="91"/>
      <c r="AX28" s="91"/>
      <c r="AY28" s="91"/>
      <c r="AZ28" s="91"/>
      <c r="BA28" s="91"/>
      <c r="BB28" s="0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</row>
    <row r="29" customFormat="false" ht="12.75" hidden="false" customHeight="false" outlineLevel="0" collapsed="false">
      <c r="B29" s="108" t="n">
        <f aca="false">C8</f>
        <v>37226</v>
      </c>
      <c r="C29" s="109" t="e">
        <f aca="false">IF($C$11="Physical",B30+24,B30)</f>
        <v>#VALUE!</v>
      </c>
      <c r="D29" s="110" t="n">
        <v>0</v>
      </c>
      <c r="E29" s="111" t="n">
        <f aca="false">VLOOKUP($B29,Model!$A$8:$E$289,5)</f>
        <v>5000</v>
      </c>
      <c r="F29" s="111" t="e">
        <f aca="false">VLOOKUP($B29,Model!$A$8:$F$289,6)</f>
        <v>#VALUE!</v>
      </c>
      <c r="G29" s="112" t="e">
        <f aca="false">VLOOKUP($B29,Model!$A$8:$AO$289,41)</f>
        <v>#VALUE!</v>
      </c>
      <c r="I29" s="113" t="n">
        <v>0</v>
      </c>
      <c r="J29" s="114" t="n">
        <f aca="false">VLOOKUP($B29,Curve_Fetch,3)</f>
        <v>3.29</v>
      </c>
      <c r="K29" s="115" t="n">
        <v>0</v>
      </c>
      <c r="L29" s="116" t="n">
        <f aca="false">IF(Control!$Y$26=Control!$X$27,J29,I29)+K29</f>
        <v>3.29</v>
      </c>
      <c r="M29" s="113" t="n">
        <v>0</v>
      </c>
      <c r="N29" s="114" t="n">
        <f aca="false">VLOOKUP($B29,Curve_Fetch,VLOOKUP(Control!$AJ$10,Control!$AI$11:$AK$22,3))</f>
        <v>-0.34</v>
      </c>
      <c r="O29" s="115" t="n">
        <v>0</v>
      </c>
      <c r="P29" s="116" t="n">
        <f aca="false">IF(Control!$Y$31=Control!$X$32,N29,M29)+O29</f>
        <v>-0.34</v>
      </c>
      <c r="Q29" s="113" t="n">
        <v>0</v>
      </c>
      <c r="R29" s="114" t="n">
        <f aca="false">VLOOKUP($B29,Curve_Fetch,(VLOOKUP(Control!$AJ$10,Control!$AI$11:$AL$22,4)))</f>
        <v>-0.01</v>
      </c>
      <c r="S29" s="115" t="n">
        <v>0</v>
      </c>
      <c r="T29" s="116" t="n">
        <f aca="false">IF($C$11="Physical",IF(Control!$Y$37=Control!$X$38,R29,Q29)+S29,0)</f>
        <v>-0.01</v>
      </c>
      <c r="U29" s="117" t="n">
        <f aca="false">IF($C$11="Financial",L29+P29,L29+P29+T29)</f>
        <v>2.94</v>
      </c>
      <c r="V29" s="114"/>
      <c r="W29" s="118" t="n">
        <f aca="false">VLOOKUP($B29,Model!$A$8:$S$289,19)</f>
        <v>0.875</v>
      </c>
      <c r="X29" s="119" t="n">
        <v>0</v>
      </c>
      <c r="Y29" s="120" t="n">
        <f aca="false">W29+X29</f>
        <v>0.875</v>
      </c>
      <c r="Z29" s="121" t="n">
        <f aca="false">$C$13</f>
        <v>0</v>
      </c>
      <c r="AA29" s="121" t="n">
        <f aca="false">U29+Z29</f>
        <v>2.94</v>
      </c>
      <c r="AB29" s="122" t="e">
        <f aca="false">EURO(U29,AA29,VLOOKUP($B29,Curve_Fetch,2),VLOOKUP($B29,Curve_Fetch,2),Y29,VLOOKUP($B29,Model!$A$8:$R$289,18),IF(Euro!$C$10="Call",1,0),0)</f>
        <v>#NAME?</v>
      </c>
      <c r="AD29" s="123" t="e">
        <f aca="false">$G29*L29</f>
        <v>#VALUE!</v>
      </c>
      <c r="AE29" s="124" t="e">
        <f aca="false">$G29*P29</f>
        <v>#VALUE!</v>
      </c>
      <c r="AF29" s="124" t="e">
        <f aca="false">$G29*T29</f>
        <v>#VALUE!</v>
      </c>
      <c r="AG29" s="124" t="e">
        <f aca="false">$G29*U29</f>
        <v>#VALUE!</v>
      </c>
      <c r="AH29" s="124" t="e">
        <f aca="false">$G29*AA29</f>
        <v>#VALUE!</v>
      </c>
      <c r="AI29" s="125" t="e">
        <f aca="false">$F29*AB29</f>
        <v>#NAME?</v>
      </c>
      <c r="AJ29" s="124"/>
      <c r="AK29" s="126"/>
      <c r="AL29" s="0"/>
      <c r="AM29" s="0"/>
      <c r="AN29" s="0"/>
      <c r="AO29" s="0"/>
      <c r="AP29" s="0"/>
      <c r="AQ29" s="0"/>
      <c r="AR29" s="0"/>
      <c r="BB29" s="0"/>
    </row>
    <row r="30" customFormat="false" ht="12.75" hidden="false" customHeight="false" outlineLevel="0" collapsed="false">
      <c r="B30" s="108" t="e">
        <f aca="false">([1]!edate,B29,1)</f>
        <v>#VALUE!</v>
      </c>
      <c r="C30" s="109" t="e">
        <f aca="false">IF($C$11="Physical",B31+24,B31)</f>
        <v>#VALUE!</v>
      </c>
      <c r="D30" s="110" t="n">
        <v>0</v>
      </c>
      <c r="E30" s="111" t="e">
        <f aca="false">VLOOKUP($B30,Model!$A$8:$E$289,5)</f>
        <v>#VALUE!</v>
      </c>
      <c r="F30" s="111" t="e">
        <f aca="false">VLOOKUP($B30,Model!$A$8:$F$289,6)</f>
        <v>#VALUE!</v>
      </c>
      <c r="G30" s="127" t="e">
        <f aca="false">VLOOKUP($B30,Model!$A$8:$AO$289,41)</f>
        <v>#VALUE!</v>
      </c>
      <c r="I30" s="113" t="n">
        <v>0</v>
      </c>
      <c r="J30" s="114" t="e">
        <f aca="false">VLOOKUP($B30,Curve_Fetch,3)</f>
        <v>#VALUE!</v>
      </c>
      <c r="K30" s="121" t="n">
        <f aca="false">K29</f>
        <v>0</v>
      </c>
      <c r="L30" s="116" t="e">
        <f aca="false">IF(Control!$Y$26=Control!$X$27,J30,I30)+K30</f>
        <v>#VALUE!</v>
      </c>
      <c r="M30" s="113" t="n">
        <v>0</v>
      </c>
      <c r="N30" s="114" t="e">
        <f aca="false">VLOOKUP($B30,Curve_Fetch,VLOOKUP(Control!$AJ$10,Control!$AI$11:$AK$22,3))</f>
        <v>#VALUE!</v>
      </c>
      <c r="O30" s="121" t="n">
        <f aca="false">O29</f>
        <v>0</v>
      </c>
      <c r="P30" s="116" t="e">
        <f aca="false">IF(Control!$Y$31=Control!$X$32,N30,M30)+O30</f>
        <v>#VALUE!</v>
      </c>
      <c r="Q30" s="113" t="n">
        <v>0</v>
      </c>
      <c r="R30" s="114" t="e">
        <f aca="false">VLOOKUP($B30,Curve_Fetch,(VLOOKUP(Control!$AJ$10,Control!$AI$11:$AL$22,4)))</f>
        <v>#VALUE!</v>
      </c>
      <c r="S30" s="121" t="n">
        <f aca="false">S29</f>
        <v>0</v>
      </c>
      <c r="T30" s="116" t="e">
        <f aca="false">IF($C$11="Physical",IF(Control!$Y$37=Control!$X$38,R30,Q30)+S30,0)</f>
        <v>#VALUE!</v>
      </c>
      <c r="U30" s="117" t="e">
        <f aca="false">IF($C$11="Financial",L30+P30,L30+P30+T30)</f>
        <v>#VALUE!</v>
      </c>
      <c r="V30" s="114"/>
      <c r="W30" s="118" t="e">
        <f aca="false">VLOOKUP($B30,Model!$A$8:$S$289,19)</f>
        <v>#VALUE!</v>
      </c>
      <c r="X30" s="120" t="n">
        <f aca="false">X29</f>
        <v>0</v>
      </c>
      <c r="Y30" s="120" t="e">
        <f aca="false">W30+X30</f>
        <v>#VALUE!</v>
      </c>
      <c r="Z30" s="121" t="n">
        <f aca="false">Z29</f>
        <v>0</v>
      </c>
      <c r="AA30" s="121" t="e">
        <f aca="false">U30+Z30</f>
        <v>#VALUE!</v>
      </c>
      <c r="AB30" s="128" t="e">
        <f aca="false">EURO(U30,AA30,VLOOKUP($B30,Curve_Fetch,2),VLOOKUP($B30,Curve_Fetch,2),Y30,VLOOKUP($B30,Model!$A$8:$R$289,18),IF(Euro!$C$10="Call",1,0),0)</f>
        <v>#VALUE!</v>
      </c>
      <c r="AD30" s="123" t="e">
        <f aca="false">$G30*L30</f>
        <v>#VALUE!</v>
      </c>
      <c r="AE30" s="124" t="e">
        <f aca="false">$G30*P30</f>
        <v>#VALUE!</v>
      </c>
      <c r="AF30" s="124" t="e">
        <f aca="false">$G30*T30</f>
        <v>#VALUE!</v>
      </c>
      <c r="AG30" s="124" t="e">
        <f aca="false">$G30*U30</f>
        <v>#VALUE!</v>
      </c>
      <c r="AH30" s="124" t="e">
        <f aca="false">$G30*AA30</f>
        <v>#VALUE!</v>
      </c>
      <c r="AI30" s="125" t="e">
        <f aca="false">$F30*AB30</f>
        <v>#VALUE!</v>
      </c>
      <c r="AJ30" s="124"/>
      <c r="AK30" s="126"/>
      <c r="AL30" s="0"/>
      <c r="AM30" s="0"/>
      <c r="AN30" s="0"/>
      <c r="AO30" s="0"/>
      <c r="AP30" s="0"/>
      <c r="AQ30" s="0"/>
      <c r="AR30" s="0"/>
      <c r="BB30" s="0"/>
    </row>
    <row r="31" customFormat="false" ht="12.75" hidden="false" customHeight="false" outlineLevel="0" collapsed="false">
      <c r="B31" s="108" t="e">
        <f aca="false">([1]!edate,B30,1)</f>
        <v>#VALUE!</v>
      </c>
      <c r="C31" s="109" t="e">
        <f aca="false">IF($C$11="Physical",B32+24,B32)</f>
        <v>#VALUE!</v>
      </c>
      <c r="D31" s="110" t="n">
        <v>0</v>
      </c>
      <c r="E31" s="111" t="e">
        <f aca="false">VLOOKUP($B31,Model!$A$8:$E$289,5)</f>
        <v>#VALUE!</v>
      </c>
      <c r="F31" s="111" t="e">
        <f aca="false">VLOOKUP($B31,Model!$A$8:$F$289,6)</f>
        <v>#VALUE!</v>
      </c>
      <c r="G31" s="127" t="e">
        <f aca="false">VLOOKUP($B31,Model!$A$8:$AO$289,41)</f>
        <v>#VALUE!</v>
      </c>
      <c r="I31" s="113" t="n">
        <v>0</v>
      </c>
      <c r="J31" s="114" t="e">
        <f aca="false">VLOOKUP($B31,Curve_Fetch,3)</f>
        <v>#VALUE!</v>
      </c>
      <c r="K31" s="121" t="n">
        <f aca="false">K30</f>
        <v>0</v>
      </c>
      <c r="L31" s="116" t="e">
        <f aca="false">IF(Control!$Y$26=Control!$X$27,J31,I31)+K31</f>
        <v>#VALUE!</v>
      </c>
      <c r="M31" s="113" t="n">
        <v>0</v>
      </c>
      <c r="N31" s="114" t="e">
        <f aca="false">VLOOKUP($B31,Curve_Fetch,VLOOKUP(Control!$AJ$10,Control!$AI$11:$AK$22,3))</f>
        <v>#VALUE!</v>
      </c>
      <c r="O31" s="121" t="n">
        <f aca="false">O30</f>
        <v>0</v>
      </c>
      <c r="P31" s="116" t="e">
        <f aca="false">IF(Control!$Y$31=Control!$X$32,N31,M31)+O31</f>
        <v>#VALUE!</v>
      </c>
      <c r="Q31" s="113" t="n">
        <v>0</v>
      </c>
      <c r="R31" s="114" t="e">
        <f aca="false">VLOOKUP($B31,Curve_Fetch,(VLOOKUP(Control!$AJ$10,Control!$AI$11:$AL$22,4)))</f>
        <v>#VALUE!</v>
      </c>
      <c r="S31" s="121" t="n">
        <f aca="false">S30</f>
        <v>0</v>
      </c>
      <c r="T31" s="116" t="e">
        <f aca="false">IF($C$11="Physical",IF(Control!$Y$37=Control!$X$38,R31,Q31)+S31,0)</f>
        <v>#VALUE!</v>
      </c>
      <c r="U31" s="117" t="e">
        <f aca="false">IF($C$11="Financial",L31+P31,L31+P31+T31)</f>
        <v>#VALUE!</v>
      </c>
      <c r="V31" s="114"/>
      <c r="W31" s="118" t="e">
        <f aca="false">VLOOKUP($B31,Model!$A$8:$S$289,19)</f>
        <v>#VALUE!</v>
      </c>
      <c r="X31" s="120" t="n">
        <f aca="false">X30</f>
        <v>0</v>
      </c>
      <c r="Y31" s="120" t="e">
        <f aca="false">W31+X31</f>
        <v>#VALUE!</v>
      </c>
      <c r="Z31" s="121" t="n">
        <f aca="false">Z30</f>
        <v>0</v>
      </c>
      <c r="AA31" s="121" t="e">
        <f aca="false">U31+Z31</f>
        <v>#VALUE!</v>
      </c>
      <c r="AB31" s="128" t="e">
        <f aca="false">EURO(U31,AA31,VLOOKUP($B31,Curve_Fetch,2),VLOOKUP($B31,Curve_Fetch,2),Y31,VLOOKUP($B31,Model!$A$8:$R$289,18),IF(Euro!$C$10="Call",1,0),0)</f>
        <v>#VALUE!</v>
      </c>
      <c r="AD31" s="123" t="e">
        <f aca="false">$G31*L31</f>
        <v>#VALUE!</v>
      </c>
      <c r="AE31" s="124" t="e">
        <f aca="false">$G31*P31</f>
        <v>#VALUE!</v>
      </c>
      <c r="AF31" s="124" t="e">
        <f aca="false">$G31*T31</f>
        <v>#VALUE!</v>
      </c>
      <c r="AG31" s="124" t="e">
        <f aca="false">$G31*U31</f>
        <v>#VALUE!</v>
      </c>
      <c r="AH31" s="124" t="e">
        <f aca="false">$G31*AA31</f>
        <v>#VALUE!</v>
      </c>
      <c r="AI31" s="125" t="e">
        <f aca="false">$F31*AB31</f>
        <v>#VALUE!</v>
      </c>
      <c r="AJ31" s="124"/>
      <c r="AK31" s="126"/>
      <c r="AL31" s="0"/>
      <c r="AM31" s="0"/>
      <c r="AN31" s="0"/>
      <c r="AO31" s="0"/>
      <c r="AP31" s="0"/>
      <c r="AQ31" s="0"/>
      <c r="AR31" s="0"/>
      <c r="BB31" s="0"/>
    </row>
    <row r="32" customFormat="false" ht="12.75" hidden="false" customHeight="false" outlineLevel="0" collapsed="false">
      <c r="B32" s="108" t="e">
        <f aca="false">([1]!edate,B31,1)</f>
        <v>#VALUE!</v>
      </c>
      <c r="C32" s="109" t="e">
        <f aca="false">IF($C$11="Physical",B33+24,B33)</f>
        <v>#VALUE!</v>
      </c>
      <c r="D32" s="110" t="n">
        <v>0</v>
      </c>
      <c r="E32" s="111" t="e">
        <f aca="false">VLOOKUP($B32,Model!$A$8:$E$289,5)</f>
        <v>#VALUE!</v>
      </c>
      <c r="F32" s="111" t="e">
        <f aca="false">VLOOKUP($B32,Model!$A$8:$F$289,6)</f>
        <v>#VALUE!</v>
      </c>
      <c r="G32" s="127" t="e">
        <f aca="false">VLOOKUP($B32,Model!$A$8:$AO$289,41)</f>
        <v>#VALUE!</v>
      </c>
      <c r="I32" s="113" t="n">
        <v>0</v>
      </c>
      <c r="J32" s="114" t="e">
        <f aca="false">VLOOKUP($B32,Curve_Fetch,3)</f>
        <v>#VALUE!</v>
      </c>
      <c r="K32" s="121" t="n">
        <f aca="false">K31</f>
        <v>0</v>
      </c>
      <c r="L32" s="116" t="e">
        <f aca="false">IF(Control!$Y$26=Control!$X$27,J32,I32)+K32</f>
        <v>#VALUE!</v>
      </c>
      <c r="M32" s="113" t="n">
        <v>0</v>
      </c>
      <c r="N32" s="114" t="e">
        <f aca="false">VLOOKUP($B32,Curve_Fetch,VLOOKUP(Control!$AJ$10,Control!$AI$11:$AK$22,3))</f>
        <v>#VALUE!</v>
      </c>
      <c r="O32" s="121" t="n">
        <f aca="false">O31</f>
        <v>0</v>
      </c>
      <c r="P32" s="116" t="e">
        <f aca="false">IF(Control!$Y$31=Control!$X$32,N32,M32)+O32</f>
        <v>#VALUE!</v>
      </c>
      <c r="Q32" s="113" t="n">
        <v>0</v>
      </c>
      <c r="R32" s="114" t="e">
        <f aca="false">VLOOKUP($B32,Curve_Fetch,(VLOOKUP(Control!$AJ$10,Control!$AI$11:$AL$22,4)))</f>
        <v>#VALUE!</v>
      </c>
      <c r="S32" s="121" t="n">
        <f aca="false">S31</f>
        <v>0</v>
      </c>
      <c r="T32" s="116" t="e">
        <f aca="false">IF($C$11="Physical",IF(Control!$Y$37=Control!$X$38,R32,Q32)+S32,0)</f>
        <v>#VALUE!</v>
      </c>
      <c r="U32" s="117" t="e">
        <f aca="false">IF($C$11="Financial",L32+P32,L32+P32+T32)</f>
        <v>#VALUE!</v>
      </c>
      <c r="V32" s="114"/>
      <c r="W32" s="118" t="e">
        <f aca="false">VLOOKUP($B32,Model!$A$8:$S$289,19)</f>
        <v>#VALUE!</v>
      </c>
      <c r="X32" s="120" t="n">
        <f aca="false">X31</f>
        <v>0</v>
      </c>
      <c r="Y32" s="120" t="e">
        <f aca="false">W32+X32</f>
        <v>#VALUE!</v>
      </c>
      <c r="Z32" s="121" t="n">
        <f aca="false">Z31</f>
        <v>0</v>
      </c>
      <c r="AA32" s="121" t="e">
        <f aca="false">U32+Z32</f>
        <v>#VALUE!</v>
      </c>
      <c r="AB32" s="128" t="e">
        <f aca="false">EURO(U32,AA32,VLOOKUP($B32,Curve_Fetch,2),VLOOKUP($B32,Curve_Fetch,2),Y32,VLOOKUP($B32,Model!$A$8:$R$289,18),IF(Euro!$C$10="Call",1,0),0)</f>
        <v>#VALUE!</v>
      </c>
      <c r="AD32" s="123" t="e">
        <f aca="false">$G32*L32</f>
        <v>#VALUE!</v>
      </c>
      <c r="AE32" s="124" t="e">
        <f aca="false">$G32*P32</f>
        <v>#VALUE!</v>
      </c>
      <c r="AF32" s="124" t="e">
        <f aca="false">$G32*T32</f>
        <v>#VALUE!</v>
      </c>
      <c r="AG32" s="124" t="e">
        <f aca="false">$G32*U32</f>
        <v>#VALUE!</v>
      </c>
      <c r="AH32" s="124" t="e">
        <f aca="false">$G32*AA32</f>
        <v>#VALUE!</v>
      </c>
      <c r="AI32" s="125" t="e">
        <f aca="false">$F32*AB32</f>
        <v>#VALUE!</v>
      </c>
      <c r="AJ32" s="124"/>
      <c r="AK32" s="126"/>
      <c r="AL32" s="0"/>
      <c r="AM32" s="0"/>
      <c r="AN32" s="0"/>
      <c r="AO32" s="0"/>
      <c r="AP32" s="0"/>
      <c r="AQ32" s="0"/>
      <c r="AR32" s="0"/>
      <c r="BB32" s="0"/>
    </row>
    <row r="33" customFormat="false" ht="12.75" hidden="false" customHeight="false" outlineLevel="0" collapsed="false">
      <c r="B33" s="108" t="e">
        <f aca="false">([1]!edate,B32,1)</f>
        <v>#VALUE!</v>
      </c>
      <c r="C33" s="109" t="e">
        <f aca="false">IF($C$11="Physical",B34+24,B34)</f>
        <v>#VALUE!</v>
      </c>
      <c r="D33" s="110" t="n">
        <v>0</v>
      </c>
      <c r="E33" s="111" t="e">
        <f aca="false">VLOOKUP($B33,Model!$A$8:$E$289,5)</f>
        <v>#VALUE!</v>
      </c>
      <c r="F33" s="111" t="e">
        <f aca="false">VLOOKUP($B33,Model!$A$8:$F$289,6)</f>
        <v>#VALUE!</v>
      </c>
      <c r="G33" s="127" t="e">
        <f aca="false">VLOOKUP($B33,Model!$A$8:$AO$289,41)</f>
        <v>#VALUE!</v>
      </c>
      <c r="I33" s="113" t="n">
        <v>0</v>
      </c>
      <c r="J33" s="114" t="e">
        <f aca="false">VLOOKUP($B33,Curve_Fetch,3)</f>
        <v>#VALUE!</v>
      </c>
      <c r="K33" s="121" t="n">
        <f aca="false">K32</f>
        <v>0</v>
      </c>
      <c r="L33" s="116" t="e">
        <f aca="false">IF(Control!$Y$26=Control!$X$27,J33,I33)+K33</f>
        <v>#VALUE!</v>
      </c>
      <c r="M33" s="113" t="n">
        <v>0</v>
      </c>
      <c r="N33" s="114" t="e">
        <f aca="false">VLOOKUP($B33,Curve_Fetch,VLOOKUP(Control!$AJ$10,Control!$AI$11:$AK$22,3))</f>
        <v>#VALUE!</v>
      </c>
      <c r="O33" s="121" t="n">
        <f aca="false">O32</f>
        <v>0</v>
      </c>
      <c r="P33" s="116" t="e">
        <f aca="false">IF(Control!$Y$31=Control!$X$32,N33,M33)+O33</f>
        <v>#VALUE!</v>
      </c>
      <c r="Q33" s="113" t="n">
        <v>0</v>
      </c>
      <c r="R33" s="114" t="e">
        <f aca="false">VLOOKUP($B33,Curve_Fetch,(VLOOKUP(Control!$AJ$10,Control!$AI$11:$AL$22,4)))</f>
        <v>#VALUE!</v>
      </c>
      <c r="S33" s="121" t="n">
        <f aca="false">S32</f>
        <v>0</v>
      </c>
      <c r="T33" s="116" t="e">
        <f aca="false">IF($C$11="Physical",IF(Control!$Y$37=Control!$X$38,R33,Q33)+S33,0)</f>
        <v>#VALUE!</v>
      </c>
      <c r="U33" s="117" t="e">
        <f aca="false">IF($C$11="Financial",L33+P33,L33+P33+T33)</f>
        <v>#VALUE!</v>
      </c>
      <c r="V33" s="114"/>
      <c r="W33" s="118" t="e">
        <f aca="false">VLOOKUP($B33,Model!$A$8:$S$289,19)</f>
        <v>#VALUE!</v>
      </c>
      <c r="X33" s="120" t="n">
        <f aca="false">X32</f>
        <v>0</v>
      </c>
      <c r="Y33" s="120" t="e">
        <f aca="false">W33+X33</f>
        <v>#VALUE!</v>
      </c>
      <c r="Z33" s="121" t="n">
        <f aca="false">Z32</f>
        <v>0</v>
      </c>
      <c r="AA33" s="121" t="e">
        <f aca="false">U33+Z33</f>
        <v>#VALUE!</v>
      </c>
      <c r="AB33" s="128" t="e">
        <f aca="false">EURO(U33,AA33,VLOOKUP($B33,Curve_Fetch,2),VLOOKUP($B33,Curve_Fetch,2),Y33,VLOOKUP($B33,Model!$A$8:$R$289,18),IF(Euro!$C$10="Call",1,0),0)</f>
        <v>#VALUE!</v>
      </c>
      <c r="AD33" s="123" t="e">
        <f aca="false">$G33*L33</f>
        <v>#VALUE!</v>
      </c>
      <c r="AE33" s="124" t="e">
        <f aca="false">$G33*P33</f>
        <v>#VALUE!</v>
      </c>
      <c r="AF33" s="124" t="e">
        <f aca="false">$G33*T33</f>
        <v>#VALUE!</v>
      </c>
      <c r="AG33" s="124" t="e">
        <f aca="false">$G33*U33</f>
        <v>#VALUE!</v>
      </c>
      <c r="AH33" s="124" t="e">
        <f aca="false">$G33*AA33</f>
        <v>#VALUE!</v>
      </c>
      <c r="AI33" s="125" t="e">
        <f aca="false">$F33*AB33</f>
        <v>#VALUE!</v>
      </c>
      <c r="AK33" s="0"/>
      <c r="AL33" s="0"/>
      <c r="AM33" s="0"/>
      <c r="AN33" s="0"/>
      <c r="AO33" s="0"/>
      <c r="AP33" s="0"/>
      <c r="AQ33" s="0"/>
      <c r="AR33" s="0"/>
      <c r="BB33" s="0"/>
    </row>
    <row r="34" customFormat="false" ht="12.75" hidden="false" customHeight="false" outlineLevel="0" collapsed="false">
      <c r="B34" s="108" t="e">
        <f aca="false">([1]!edate,B33,1)</f>
        <v>#VALUE!</v>
      </c>
      <c r="C34" s="109" t="e">
        <f aca="false">IF($C$11="Physical",B35+24,B35)</f>
        <v>#VALUE!</v>
      </c>
      <c r="D34" s="110" t="n">
        <v>0</v>
      </c>
      <c r="E34" s="111" t="e">
        <f aca="false">VLOOKUP($B34,Model!$A$8:$E$289,5)</f>
        <v>#VALUE!</v>
      </c>
      <c r="F34" s="111" t="e">
        <f aca="false">VLOOKUP($B34,Model!$A$8:$F$289,6)</f>
        <v>#VALUE!</v>
      </c>
      <c r="G34" s="127" t="e">
        <f aca="false">VLOOKUP($B34,Model!$A$8:$AO$289,41)</f>
        <v>#VALUE!</v>
      </c>
      <c r="I34" s="113" t="n">
        <v>0</v>
      </c>
      <c r="J34" s="114" t="e">
        <f aca="false">VLOOKUP($B34,Curve_Fetch,3)</f>
        <v>#VALUE!</v>
      </c>
      <c r="K34" s="121" t="n">
        <f aca="false">K33</f>
        <v>0</v>
      </c>
      <c r="L34" s="116" t="e">
        <f aca="false">IF(Control!$Y$26=Control!$X$27,J34,I34)+K34</f>
        <v>#VALUE!</v>
      </c>
      <c r="M34" s="113" t="n">
        <v>0</v>
      </c>
      <c r="N34" s="114" t="e">
        <f aca="false">VLOOKUP($B34,Curve_Fetch,VLOOKUP(Control!$AJ$10,Control!$AI$11:$AK$22,3))</f>
        <v>#VALUE!</v>
      </c>
      <c r="O34" s="121" t="n">
        <f aca="false">O33</f>
        <v>0</v>
      </c>
      <c r="P34" s="116" t="e">
        <f aca="false">IF(Control!$Y$31=Control!$X$32,N34,M34)+O34</f>
        <v>#VALUE!</v>
      </c>
      <c r="Q34" s="113" t="n">
        <v>0</v>
      </c>
      <c r="R34" s="114" t="e">
        <f aca="false">VLOOKUP($B34,Curve_Fetch,(VLOOKUP(Control!$AJ$10,Control!$AI$11:$AL$22,4)))</f>
        <v>#VALUE!</v>
      </c>
      <c r="S34" s="121" t="n">
        <f aca="false">S33</f>
        <v>0</v>
      </c>
      <c r="T34" s="116" t="e">
        <f aca="false">IF($C$11="Physical",IF(Control!$Y$37=Control!$X$38,R34,Q34)+S34,0)</f>
        <v>#VALUE!</v>
      </c>
      <c r="U34" s="117" t="e">
        <f aca="false">IF($C$11="Financial",L34+P34,L34+P34+T34)</f>
        <v>#VALUE!</v>
      </c>
      <c r="V34" s="114"/>
      <c r="W34" s="118" t="e">
        <f aca="false">VLOOKUP($B34,Model!$A$8:$S$289,19)</f>
        <v>#VALUE!</v>
      </c>
      <c r="X34" s="120" t="n">
        <f aca="false">X33</f>
        <v>0</v>
      </c>
      <c r="Y34" s="120" t="e">
        <f aca="false">W34+X34</f>
        <v>#VALUE!</v>
      </c>
      <c r="Z34" s="121" t="n">
        <f aca="false">Z33</f>
        <v>0</v>
      </c>
      <c r="AA34" s="121" t="e">
        <f aca="false">U34+Z34</f>
        <v>#VALUE!</v>
      </c>
      <c r="AB34" s="128" t="e">
        <f aca="false">EURO(U34,AA34,VLOOKUP($B34,Curve_Fetch,2),VLOOKUP($B34,Curve_Fetch,2),Y34,VLOOKUP($B34,Model!$A$8:$R$289,18),IF(Euro!$C$10="Call",1,0),0)</f>
        <v>#VALUE!</v>
      </c>
      <c r="AD34" s="123" t="e">
        <f aca="false">$G34*L34</f>
        <v>#VALUE!</v>
      </c>
      <c r="AE34" s="124" t="e">
        <f aca="false">$G34*P34</f>
        <v>#VALUE!</v>
      </c>
      <c r="AF34" s="124" t="e">
        <f aca="false">$G34*T34</f>
        <v>#VALUE!</v>
      </c>
      <c r="AG34" s="124" t="e">
        <f aca="false">$G34*U34</f>
        <v>#VALUE!</v>
      </c>
      <c r="AH34" s="124" t="e">
        <f aca="false">$G34*AA34</f>
        <v>#VALUE!</v>
      </c>
      <c r="AI34" s="125" t="e">
        <f aca="false">$F34*AB34</f>
        <v>#VALUE!</v>
      </c>
      <c r="AK34" s="0"/>
      <c r="AL34" s="0"/>
      <c r="AM34" s="0"/>
      <c r="AN34" s="0"/>
      <c r="AO34" s="0"/>
      <c r="AP34" s="0"/>
      <c r="AQ34" s="0"/>
      <c r="AR34" s="0"/>
      <c r="BB34" s="0"/>
    </row>
    <row r="35" customFormat="false" ht="12.75" hidden="false" customHeight="false" outlineLevel="0" collapsed="false">
      <c r="B35" s="108" t="e">
        <f aca="false">([1]!edate,B34,1)</f>
        <v>#VALUE!</v>
      </c>
      <c r="C35" s="109" t="e">
        <f aca="false">IF($C$11="Physical",B36+24,B36)</f>
        <v>#VALUE!</v>
      </c>
      <c r="D35" s="110" t="n">
        <v>0</v>
      </c>
      <c r="E35" s="111" t="e">
        <f aca="false">VLOOKUP($B35,Model!$A$8:$E$289,5)</f>
        <v>#VALUE!</v>
      </c>
      <c r="F35" s="111" t="e">
        <f aca="false">VLOOKUP($B35,Model!$A$8:$F$289,6)</f>
        <v>#VALUE!</v>
      </c>
      <c r="G35" s="127" t="e">
        <f aca="false">VLOOKUP($B35,Model!$A$8:$AO$289,41)</f>
        <v>#VALUE!</v>
      </c>
      <c r="I35" s="113" t="n">
        <v>0</v>
      </c>
      <c r="J35" s="114" t="e">
        <f aca="false">VLOOKUP($B35,Curve_Fetch,3)</f>
        <v>#VALUE!</v>
      </c>
      <c r="K35" s="121" t="n">
        <f aca="false">K34</f>
        <v>0</v>
      </c>
      <c r="L35" s="116" t="e">
        <f aca="false">IF(Control!$Y$26=Control!$X$27,J35,I35)+K35</f>
        <v>#VALUE!</v>
      </c>
      <c r="M35" s="113" t="n">
        <v>0</v>
      </c>
      <c r="N35" s="114" t="e">
        <f aca="false">VLOOKUP($B35,Curve_Fetch,VLOOKUP(Control!$AJ$10,Control!$AI$11:$AK$22,3))</f>
        <v>#VALUE!</v>
      </c>
      <c r="O35" s="121" t="n">
        <f aca="false">O34</f>
        <v>0</v>
      </c>
      <c r="P35" s="116" t="e">
        <f aca="false">IF(Control!$Y$31=Control!$X$32,N35,M35)+O35</f>
        <v>#VALUE!</v>
      </c>
      <c r="Q35" s="113" t="n">
        <v>0</v>
      </c>
      <c r="R35" s="114" t="e">
        <f aca="false">VLOOKUP($B35,Curve_Fetch,(VLOOKUP(Control!$AJ$10,Control!$AI$11:$AL$22,4)))</f>
        <v>#VALUE!</v>
      </c>
      <c r="S35" s="121" t="n">
        <f aca="false">S34</f>
        <v>0</v>
      </c>
      <c r="T35" s="116" t="e">
        <f aca="false">IF($C$11="Physical",IF(Control!$Y$37=Control!$X$38,R35,Q35)+S35,0)</f>
        <v>#VALUE!</v>
      </c>
      <c r="U35" s="117" t="e">
        <f aca="false">IF($C$11="Financial",L35+P35,L35+P35+T35)</f>
        <v>#VALUE!</v>
      </c>
      <c r="V35" s="114"/>
      <c r="W35" s="118" t="e">
        <f aca="false">VLOOKUP($B35,Model!$A$8:$S$289,19)</f>
        <v>#VALUE!</v>
      </c>
      <c r="X35" s="120" t="n">
        <f aca="false">X34</f>
        <v>0</v>
      </c>
      <c r="Y35" s="120" t="e">
        <f aca="false">W35+X35</f>
        <v>#VALUE!</v>
      </c>
      <c r="Z35" s="121" t="n">
        <f aca="false">Z34</f>
        <v>0</v>
      </c>
      <c r="AA35" s="121" t="e">
        <f aca="false">U35+Z35</f>
        <v>#VALUE!</v>
      </c>
      <c r="AB35" s="128" t="e">
        <f aca="false">EURO(U35,AA35,VLOOKUP($B35,Curve_Fetch,2),VLOOKUP($B35,Curve_Fetch,2),Y35,VLOOKUP($B35,Model!$A$8:$R$289,18),IF(Euro!$C$10="Call",1,0),0)</f>
        <v>#VALUE!</v>
      </c>
      <c r="AD35" s="123" t="e">
        <f aca="false">$G35*L35</f>
        <v>#VALUE!</v>
      </c>
      <c r="AE35" s="124" t="e">
        <f aca="false">$G35*P35</f>
        <v>#VALUE!</v>
      </c>
      <c r="AF35" s="124" t="e">
        <f aca="false">$G35*T35</f>
        <v>#VALUE!</v>
      </c>
      <c r="AG35" s="124" t="e">
        <f aca="false">$G35*U35</f>
        <v>#VALUE!</v>
      </c>
      <c r="AH35" s="124" t="e">
        <f aca="false">$G35*AA35</f>
        <v>#VALUE!</v>
      </c>
      <c r="AI35" s="125" t="e">
        <f aca="false">$F35*AB35</f>
        <v>#VALUE!</v>
      </c>
      <c r="AK35" s="0"/>
      <c r="AL35" s="0"/>
      <c r="AM35" s="0"/>
      <c r="AN35" s="0"/>
      <c r="AO35" s="0"/>
      <c r="AP35" s="0"/>
      <c r="AQ35" s="0"/>
      <c r="AR35" s="0"/>
      <c r="BB35" s="0"/>
    </row>
    <row r="36" customFormat="false" ht="12.75" hidden="false" customHeight="false" outlineLevel="0" collapsed="false">
      <c r="B36" s="108" t="e">
        <f aca="false">([1]!edate,B35,1)</f>
        <v>#VALUE!</v>
      </c>
      <c r="C36" s="109" t="e">
        <f aca="false">IF($C$11="Physical",B37+24,B37)</f>
        <v>#VALUE!</v>
      </c>
      <c r="D36" s="110" t="n">
        <v>0</v>
      </c>
      <c r="E36" s="111" t="e">
        <f aca="false">VLOOKUP($B36,Model!$A$8:$E$289,5)</f>
        <v>#VALUE!</v>
      </c>
      <c r="F36" s="111" t="e">
        <f aca="false">VLOOKUP($B36,Model!$A$8:$F$289,6)</f>
        <v>#VALUE!</v>
      </c>
      <c r="G36" s="127" t="e">
        <f aca="false">VLOOKUP($B36,Model!$A$8:$AO$289,41)</f>
        <v>#VALUE!</v>
      </c>
      <c r="I36" s="113" t="n">
        <v>0</v>
      </c>
      <c r="J36" s="114" t="e">
        <f aca="false">VLOOKUP($B36,Curve_Fetch,3)</f>
        <v>#VALUE!</v>
      </c>
      <c r="K36" s="121" t="n">
        <f aca="false">K35</f>
        <v>0</v>
      </c>
      <c r="L36" s="116" t="e">
        <f aca="false">IF(Control!$Y$26=Control!$X$27,J36,I36)+K36</f>
        <v>#VALUE!</v>
      </c>
      <c r="M36" s="113" t="n">
        <v>0</v>
      </c>
      <c r="N36" s="114" t="e">
        <f aca="false">VLOOKUP($B36,Curve_Fetch,VLOOKUP(Control!$AJ$10,Control!$AI$11:$AK$22,3))</f>
        <v>#VALUE!</v>
      </c>
      <c r="O36" s="121" t="n">
        <f aca="false">O35</f>
        <v>0</v>
      </c>
      <c r="P36" s="116" t="e">
        <f aca="false">IF(Control!$Y$31=Control!$X$32,N36,M36)+O36</f>
        <v>#VALUE!</v>
      </c>
      <c r="Q36" s="113" t="n">
        <v>0</v>
      </c>
      <c r="R36" s="114" t="e">
        <f aca="false">VLOOKUP($B36,Curve_Fetch,(VLOOKUP(Control!$AJ$10,Control!$AI$11:$AL$22,4)))</f>
        <v>#VALUE!</v>
      </c>
      <c r="S36" s="121" t="n">
        <f aca="false">S35</f>
        <v>0</v>
      </c>
      <c r="T36" s="116" t="e">
        <f aca="false">IF($C$11="Physical",IF(Control!$Y$37=Control!$X$38,R36,Q36)+S36,0)</f>
        <v>#VALUE!</v>
      </c>
      <c r="U36" s="117" t="e">
        <f aca="false">IF($C$11="Financial",L36+P36,L36+P36+T36)</f>
        <v>#VALUE!</v>
      </c>
      <c r="V36" s="114"/>
      <c r="W36" s="118" t="e">
        <f aca="false">VLOOKUP($B36,Model!$A$8:$S$289,19)</f>
        <v>#VALUE!</v>
      </c>
      <c r="X36" s="120" t="n">
        <f aca="false">X35</f>
        <v>0</v>
      </c>
      <c r="Y36" s="120" t="e">
        <f aca="false">W36+X36</f>
        <v>#VALUE!</v>
      </c>
      <c r="Z36" s="121" t="n">
        <f aca="false">Z35</f>
        <v>0</v>
      </c>
      <c r="AA36" s="121" t="e">
        <f aca="false">U36+Z36</f>
        <v>#VALUE!</v>
      </c>
      <c r="AB36" s="128" t="e">
        <f aca="false">EURO(U36,AA36,VLOOKUP($B36,Curve_Fetch,2),VLOOKUP($B36,Curve_Fetch,2),Y36,VLOOKUP($B36,Model!$A$8:$R$289,18),IF(Euro!$C$10="Call",1,0),0)</f>
        <v>#VALUE!</v>
      </c>
      <c r="AD36" s="123" t="e">
        <f aca="false">$G36*L36</f>
        <v>#VALUE!</v>
      </c>
      <c r="AE36" s="124" t="e">
        <f aca="false">$G36*P36</f>
        <v>#VALUE!</v>
      </c>
      <c r="AF36" s="124" t="e">
        <f aca="false">$G36*T36</f>
        <v>#VALUE!</v>
      </c>
      <c r="AG36" s="124" t="e">
        <f aca="false">$G36*U36</f>
        <v>#VALUE!</v>
      </c>
      <c r="AH36" s="124" t="e">
        <f aca="false">$G36*AA36</f>
        <v>#VALUE!</v>
      </c>
      <c r="AI36" s="125" t="e">
        <f aca="false">$F36*AB36</f>
        <v>#VALUE!</v>
      </c>
      <c r="AK36" s="0"/>
      <c r="AL36" s="0"/>
      <c r="AM36" s="0"/>
      <c r="AN36" s="0"/>
      <c r="AO36" s="0"/>
      <c r="AP36" s="0"/>
      <c r="AQ36" s="0"/>
      <c r="AR36" s="0"/>
    </row>
    <row r="37" customFormat="false" ht="12.75" hidden="false" customHeight="false" outlineLevel="0" collapsed="false">
      <c r="B37" s="108" t="e">
        <f aca="false">([1]!edate,B36,1)</f>
        <v>#VALUE!</v>
      </c>
      <c r="C37" s="109" t="e">
        <f aca="false">IF($C$11="Physical",B38+24,B38)</f>
        <v>#VALUE!</v>
      </c>
      <c r="D37" s="110" t="n">
        <v>0</v>
      </c>
      <c r="E37" s="111" t="e">
        <f aca="false">VLOOKUP($B37,Model!$A$8:$E$289,5)</f>
        <v>#VALUE!</v>
      </c>
      <c r="F37" s="111" t="e">
        <f aca="false">VLOOKUP($B37,Model!$A$8:$F$289,6)</f>
        <v>#VALUE!</v>
      </c>
      <c r="G37" s="127" t="e">
        <f aca="false">VLOOKUP($B37,Model!$A$8:$AO$289,41)</f>
        <v>#VALUE!</v>
      </c>
      <c r="I37" s="113" t="n">
        <v>0</v>
      </c>
      <c r="J37" s="114" t="e">
        <f aca="false">VLOOKUP($B37,Curve_Fetch,3)</f>
        <v>#VALUE!</v>
      </c>
      <c r="K37" s="121" t="n">
        <f aca="false">K36</f>
        <v>0</v>
      </c>
      <c r="L37" s="116" t="e">
        <f aca="false">IF(Control!$Y$26=Control!$X$27,J37,I37)+K37</f>
        <v>#VALUE!</v>
      </c>
      <c r="M37" s="113" t="n">
        <v>0</v>
      </c>
      <c r="N37" s="114" t="e">
        <f aca="false">VLOOKUP($B37,Curve_Fetch,VLOOKUP(Control!$AJ$10,Control!$AI$11:$AK$22,3))</f>
        <v>#VALUE!</v>
      </c>
      <c r="O37" s="121" t="n">
        <f aca="false">O36</f>
        <v>0</v>
      </c>
      <c r="P37" s="116" t="e">
        <f aca="false">IF(Control!$Y$31=Control!$X$32,N37,M37)+O37</f>
        <v>#VALUE!</v>
      </c>
      <c r="Q37" s="113" t="n">
        <v>0</v>
      </c>
      <c r="R37" s="114" t="e">
        <f aca="false">VLOOKUP($B37,Curve_Fetch,(VLOOKUP(Control!$AJ$10,Control!$AI$11:$AL$22,4)))</f>
        <v>#VALUE!</v>
      </c>
      <c r="S37" s="121" t="n">
        <f aca="false">S36</f>
        <v>0</v>
      </c>
      <c r="T37" s="116" t="e">
        <f aca="false">IF($C$11="Physical",IF(Control!$Y$37=Control!$X$38,R37,Q37)+S37,0)</f>
        <v>#VALUE!</v>
      </c>
      <c r="U37" s="117" t="e">
        <f aca="false">IF($C$11="Financial",L37+P37,L37+P37+T37)</f>
        <v>#VALUE!</v>
      </c>
      <c r="V37" s="114"/>
      <c r="W37" s="118" t="e">
        <f aca="false">VLOOKUP($B37,Model!$A$8:$S$289,19)</f>
        <v>#VALUE!</v>
      </c>
      <c r="X37" s="120" t="n">
        <f aca="false">X36</f>
        <v>0</v>
      </c>
      <c r="Y37" s="120" t="e">
        <f aca="false">W37+X37</f>
        <v>#VALUE!</v>
      </c>
      <c r="Z37" s="121" t="n">
        <f aca="false">Z36</f>
        <v>0</v>
      </c>
      <c r="AA37" s="121" t="e">
        <f aca="false">U37+Z37</f>
        <v>#VALUE!</v>
      </c>
      <c r="AB37" s="128" t="e">
        <f aca="false">EURO(U37,AA37,VLOOKUP($B37,Curve_Fetch,2),VLOOKUP($B37,Curve_Fetch,2),Y37,VLOOKUP($B37,Model!$A$8:$R$289,18),IF(Euro!$C$10="Call",1,0),0)</f>
        <v>#VALUE!</v>
      </c>
      <c r="AD37" s="123" t="e">
        <f aca="false">$G37*L37</f>
        <v>#VALUE!</v>
      </c>
      <c r="AE37" s="124" t="e">
        <f aca="false">$G37*P37</f>
        <v>#VALUE!</v>
      </c>
      <c r="AF37" s="124" t="e">
        <f aca="false">$G37*T37</f>
        <v>#VALUE!</v>
      </c>
      <c r="AG37" s="124" t="e">
        <f aca="false">$G37*U37</f>
        <v>#VALUE!</v>
      </c>
      <c r="AH37" s="124" t="e">
        <f aca="false">$G37*AA37</f>
        <v>#VALUE!</v>
      </c>
      <c r="AI37" s="125" t="e">
        <f aca="false">$F37*AB37</f>
        <v>#VALUE!</v>
      </c>
      <c r="AK37" s="0"/>
      <c r="AL37" s="0"/>
      <c r="AM37" s="0"/>
      <c r="AN37" s="0"/>
      <c r="AO37" s="0"/>
      <c r="AP37" s="0"/>
      <c r="AQ37" s="0"/>
      <c r="AR37" s="0"/>
    </row>
    <row r="38" customFormat="false" ht="12.75" hidden="false" customHeight="false" outlineLevel="0" collapsed="false">
      <c r="B38" s="108" t="e">
        <f aca="false">([1]!edate,B37,1)</f>
        <v>#VALUE!</v>
      </c>
      <c r="C38" s="109" t="e">
        <f aca="false">IF($C$11="Physical",B39+24,B39)</f>
        <v>#VALUE!</v>
      </c>
      <c r="D38" s="110" t="n">
        <v>0</v>
      </c>
      <c r="E38" s="111" t="e">
        <f aca="false">VLOOKUP($B38,Model!$A$8:$E$289,5)</f>
        <v>#VALUE!</v>
      </c>
      <c r="F38" s="111" t="e">
        <f aca="false">VLOOKUP($B38,Model!$A$8:$F$289,6)</f>
        <v>#VALUE!</v>
      </c>
      <c r="G38" s="127" t="e">
        <f aca="false">VLOOKUP($B38,Model!$A$8:$AO$289,41)</f>
        <v>#VALUE!</v>
      </c>
      <c r="I38" s="113" t="n">
        <v>0</v>
      </c>
      <c r="J38" s="114" t="e">
        <f aca="false">VLOOKUP($B38,Curve_Fetch,3)</f>
        <v>#VALUE!</v>
      </c>
      <c r="K38" s="121" t="n">
        <f aca="false">K37</f>
        <v>0</v>
      </c>
      <c r="L38" s="116" t="e">
        <f aca="false">IF(Control!$Y$26=Control!$X$27,J38,I38)+K38</f>
        <v>#VALUE!</v>
      </c>
      <c r="M38" s="113" t="n">
        <v>0</v>
      </c>
      <c r="N38" s="114" t="e">
        <f aca="false">VLOOKUP($B38,Curve_Fetch,VLOOKUP(Control!$AJ$10,Control!$AI$11:$AK$22,3))</f>
        <v>#VALUE!</v>
      </c>
      <c r="O38" s="121" t="n">
        <f aca="false">O37</f>
        <v>0</v>
      </c>
      <c r="P38" s="116" t="e">
        <f aca="false">IF(Control!$Y$31=Control!$X$32,N38,M38)+O38</f>
        <v>#VALUE!</v>
      </c>
      <c r="Q38" s="113" t="n">
        <v>0</v>
      </c>
      <c r="R38" s="114" t="e">
        <f aca="false">VLOOKUP($B38,Curve_Fetch,(VLOOKUP(Control!$AJ$10,Control!$AI$11:$AL$22,4)))</f>
        <v>#VALUE!</v>
      </c>
      <c r="S38" s="121" t="n">
        <f aca="false">S37</f>
        <v>0</v>
      </c>
      <c r="T38" s="116" t="e">
        <f aca="false">IF($C$11="Physical",IF(Control!$Y$37=Control!$X$38,R38,Q38)+S38,0)</f>
        <v>#VALUE!</v>
      </c>
      <c r="U38" s="117" t="e">
        <f aca="false">IF($C$11="Financial",L38+P38,L38+P38+T38)</f>
        <v>#VALUE!</v>
      </c>
      <c r="V38" s="114"/>
      <c r="W38" s="118" t="e">
        <f aca="false">VLOOKUP($B38,Model!$A$8:$S$289,19)</f>
        <v>#VALUE!</v>
      </c>
      <c r="X38" s="120" t="n">
        <f aca="false">X37</f>
        <v>0</v>
      </c>
      <c r="Y38" s="120" t="e">
        <f aca="false">W38+X38</f>
        <v>#VALUE!</v>
      </c>
      <c r="Z38" s="121" t="n">
        <f aca="false">Z37</f>
        <v>0</v>
      </c>
      <c r="AA38" s="121" t="e">
        <f aca="false">U38+Z38</f>
        <v>#VALUE!</v>
      </c>
      <c r="AB38" s="128" t="e">
        <f aca="false">EURO(U38,AA38,VLOOKUP($B38,Curve_Fetch,2),VLOOKUP($B38,Curve_Fetch,2),Y38,VLOOKUP($B38,Model!$A$8:$R$289,18),IF(Euro!$C$10="Call",1,0),0)</f>
        <v>#VALUE!</v>
      </c>
      <c r="AD38" s="123" t="e">
        <f aca="false">$G38*L38</f>
        <v>#VALUE!</v>
      </c>
      <c r="AE38" s="124" t="e">
        <f aca="false">$G38*P38</f>
        <v>#VALUE!</v>
      </c>
      <c r="AF38" s="124" t="e">
        <f aca="false">$G38*T38</f>
        <v>#VALUE!</v>
      </c>
      <c r="AG38" s="124" t="e">
        <f aca="false">$G38*U38</f>
        <v>#VALUE!</v>
      </c>
      <c r="AH38" s="124" t="e">
        <f aca="false">$G38*AA38</f>
        <v>#VALUE!</v>
      </c>
      <c r="AI38" s="125" t="e">
        <f aca="false">$F38*AB38</f>
        <v>#VALUE!</v>
      </c>
      <c r="AK38" s="0"/>
      <c r="AL38" s="0"/>
      <c r="AM38" s="0"/>
      <c r="AN38" s="0"/>
      <c r="AO38" s="0"/>
      <c r="AP38" s="0"/>
      <c r="AQ38" s="0"/>
      <c r="AR38" s="0"/>
    </row>
    <row r="39" customFormat="false" ht="12.75" hidden="false" customHeight="false" outlineLevel="0" collapsed="false">
      <c r="B39" s="108" t="e">
        <f aca="false">([1]!edate,B38,1)</f>
        <v>#VALUE!</v>
      </c>
      <c r="C39" s="109" t="e">
        <f aca="false">IF($C$11="Physical",B40+24,B40)</f>
        <v>#VALUE!</v>
      </c>
      <c r="D39" s="110" t="n">
        <v>0</v>
      </c>
      <c r="E39" s="111" t="e">
        <f aca="false">VLOOKUP($B39,Model!$A$8:$E$289,5)</f>
        <v>#VALUE!</v>
      </c>
      <c r="F39" s="111" t="e">
        <f aca="false">VLOOKUP($B39,Model!$A$8:$F$289,6)</f>
        <v>#VALUE!</v>
      </c>
      <c r="G39" s="127" t="e">
        <f aca="false">VLOOKUP($B39,Model!$A$8:$AO$289,41)</f>
        <v>#VALUE!</v>
      </c>
      <c r="I39" s="113" t="n">
        <v>0</v>
      </c>
      <c r="J39" s="114" t="e">
        <f aca="false">VLOOKUP($B39,Curve_Fetch,3)</f>
        <v>#VALUE!</v>
      </c>
      <c r="K39" s="121" t="n">
        <f aca="false">K38</f>
        <v>0</v>
      </c>
      <c r="L39" s="116" t="e">
        <f aca="false">IF(Control!$Y$26=Control!$X$27,J39,I39)+K39</f>
        <v>#VALUE!</v>
      </c>
      <c r="M39" s="113" t="n">
        <v>0</v>
      </c>
      <c r="N39" s="114" t="e">
        <f aca="false">VLOOKUP($B39,Curve_Fetch,VLOOKUP(Control!$AJ$10,Control!$AI$11:$AK$22,3))</f>
        <v>#VALUE!</v>
      </c>
      <c r="O39" s="121" t="n">
        <f aca="false">O38</f>
        <v>0</v>
      </c>
      <c r="P39" s="116" t="e">
        <f aca="false">IF(Control!$Y$31=Control!$X$32,N39,M39)+O39</f>
        <v>#VALUE!</v>
      </c>
      <c r="Q39" s="113" t="n">
        <v>0</v>
      </c>
      <c r="R39" s="114" t="e">
        <f aca="false">VLOOKUP($B39,Curve_Fetch,(VLOOKUP(Control!$AJ$10,Control!$AI$11:$AL$22,4)))</f>
        <v>#VALUE!</v>
      </c>
      <c r="S39" s="121" t="n">
        <f aca="false">S38</f>
        <v>0</v>
      </c>
      <c r="T39" s="116" t="e">
        <f aca="false">IF($C$11="Physical",IF(Control!$Y$37=Control!$X$38,R39,Q39)+S39,0)</f>
        <v>#VALUE!</v>
      </c>
      <c r="U39" s="117" t="e">
        <f aca="false">IF($C$11="Financial",L39+P39,L39+P39+T39)</f>
        <v>#VALUE!</v>
      </c>
      <c r="V39" s="114"/>
      <c r="W39" s="118" t="e">
        <f aca="false">VLOOKUP($B39,Model!$A$8:$S$289,19)</f>
        <v>#VALUE!</v>
      </c>
      <c r="X39" s="120" t="n">
        <f aca="false">X38</f>
        <v>0</v>
      </c>
      <c r="Y39" s="120" t="e">
        <f aca="false">W39+X39</f>
        <v>#VALUE!</v>
      </c>
      <c r="Z39" s="121" t="n">
        <f aca="false">Z38</f>
        <v>0</v>
      </c>
      <c r="AA39" s="121" t="e">
        <f aca="false">U39+Z39</f>
        <v>#VALUE!</v>
      </c>
      <c r="AB39" s="128" t="e">
        <f aca="false">EURO(U39,AA39,VLOOKUP($B39,Curve_Fetch,2),VLOOKUP($B39,Curve_Fetch,2),Y39,VLOOKUP($B39,Model!$A$8:$R$289,18),IF(Euro!$C$10="Call",1,0),0)</f>
        <v>#VALUE!</v>
      </c>
      <c r="AD39" s="123" t="e">
        <f aca="false">$G39*L39</f>
        <v>#VALUE!</v>
      </c>
      <c r="AE39" s="124" t="e">
        <f aca="false">$G39*P39</f>
        <v>#VALUE!</v>
      </c>
      <c r="AF39" s="124" t="e">
        <f aca="false">$G39*T39</f>
        <v>#VALUE!</v>
      </c>
      <c r="AG39" s="124" t="e">
        <f aca="false">$G39*U39</f>
        <v>#VALUE!</v>
      </c>
      <c r="AH39" s="124" t="e">
        <f aca="false">$G39*AA39</f>
        <v>#VALUE!</v>
      </c>
      <c r="AI39" s="125" t="e">
        <f aca="false">$F39*AB39</f>
        <v>#VALUE!</v>
      </c>
      <c r="AK39" s="0"/>
      <c r="AL39" s="0"/>
      <c r="AM39" s="0"/>
      <c r="AN39" s="0"/>
      <c r="AO39" s="0"/>
      <c r="AP39" s="0"/>
      <c r="AQ39" s="0"/>
      <c r="AR39" s="0"/>
    </row>
    <row r="40" customFormat="false" ht="12.75" hidden="false" customHeight="false" outlineLevel="0" collapsed="false">
      <c r="B40" s="108" t="e">
        <f aca="false">([1]!edate,B39,1)</f>
        <v>#VALUE!</v>
      </c>
      <c r="C40" s="109" t="e">
        <f aca="false">IF($C$11="Physical",B41+24,B41)</f>
        <v>#VALUE!</v>
      </c>
      <c r="D40" s="110" t="n">
        <v>0</v>
      </c>
      <c r="E40" s="111" t="e">
        <f aca="false">VLOOKUP($B40,Model!$A$8:$E$289,5)</f>
        <v>#VALUE!</v>
      </c>
      <c r="F40" s="111" t="e">
        <f aca="false">VLOOKUP($B40,Model!$A$8:$F$289,6)</f>
        <v>#VALUE!</v>
      </c>
      <c r="G40" s="127" t="e">
        <f aca="false">VLOOKUP($B40,Model!$A$8:$AO$289,41)</f>
        <v>#VALUE!</v>
      </c>
      <c r="I40" s="113" t="n">
        <v>0</v>
      </c>
      <c r="J40" s="114" t="e">
        <f aca="false">VLOOKUP($B40,Curve_Fetch,3)</f>
        <v>#VALUE!</v>
      </c>
      <c r="K40" s="121" t="n">
        <f aca="false">K39</f>
        <v>0</v>
      </c>
      <c r="L40" s="116" t="e">
        <f aca="false">IF(Control!$Y$26=Control!$X$27,J40,I40)+K40</f>
        <v>#VALUE!</v>
      </c>
      <c r="M40" s="113" t="n">
        <v>0</v>
      </c>
      <c r="N40" s="114" t="e">
        <f aca="false">VLOOKUP($B40,Curve_Fetch,VLOOKUP(Control!$AJ$10,Control!$AI$11:$AK$22,3))</f>
        <v>#VALUE!</v>
      </c>
      <c r="O40" s="121" t="n">
        <f aca="false">O39</f>
        <v>0</v>
      </c>
      <c r="P40" s="116" t="e">
        <f aca="false">IF(Control!$Y$31=Control!$X$32,N40,M40)+O40</f>
        <v>#VALUE!</v>
      </c>
      <c r="Q40" s="113" t="n">
        <v>0</v>
      </c>
      <c r="R40" s="114" t="e">
        <f aca="false">VLOOKUP($B40,Curve_Fetch,(VLOOKUP(Control!$AJ$10,Control!$AI$11:$AL$22,4)))</f>
        <v>#VALUE!</v>
      </c>
      <c r="S40" s="121" t="n">
        <f aca="false">S39</f>
        <v>0</v>
      </c>
      <c r="T40" s="116" t="e">
        <f aca="false">IF($C$11="Physical",IF(Control!$Y$37=Control!$X$38,R40,Q40)+S40,0)</f>
        <v>#VALUE!</v>
      </c>
      <c r="U40" s="117" t="e">
        <f aca="false">IF($C$11="Financial",L40+P40,L40+P40+T40)</f>
        <v>#VALUE!</v>
      </c>
      <c r="V40" s="114"/>
      <c r="W40" s="118" t="e">
        <f aca="false">VLOOKUP($B40,Model!$A$8:$S$289,19)</f>
        <v>#VALUE!</v>
      </c>
      <c r="X40" s="120" t="n">
        <f aca="false">X39</f>
        <v>0</v>
      </c>
      <c r="Y40" s="120" t="e">
        <f aca="false">W40+X40</f>
        <v>#VALUE!</v>
      </c>
      <c r="Z40" s="121" t="n">
        <f aca="false">Z39</f>
        <v>0</v>
      </c>
      <c r="AA40" s="121" t="e">
        <f aca="false">U40+Z40</f>
        <v>#VALUE!</v>
      </c>
      <c r="AB40" s="128" t="e">
        <f aca="false">EURO(U40,AA40,VLOOKUP($B40,Curve_Fetch,2),VLOOKUP($B40,Curve_Fetch,2),Y40,VLOOKUP($B40,Model!$A$8:$R$289,18),IF(Euro!$C$10="Call",1,0),0)</f>
        <v>#VALUE!</v>
      </c>
      <c r="AD40" s="123" t="e">
        <f aca="false">$G40*L40</f>
        <v>#VALUE!</v>
      </c>
      <c r="AE40" s="124" t="e">
        <f aca="false">$G40*P40</f>
        <v>#VALUE!</v>
      </c>
      <c r="AF40" s="124" t="e">
        <f aca="false">$G40*T40</f>
        <v>#VALUE!</v>
      </c>
      <c r="AG40" s="124" t="e">
        <f aca="false">$G40*U40</f>
        <v>#VALUE!</v>
      </c>
      <c r="AH40" s="124" t="e">
        <f aca="false">$G40*AA40</f>
        <v>#VALUE!</v>
      </c>
      <c r="AI40" s="125" t="e">
        <f aca="false">$F40*AB40</f>
        <v>#VALUE!</v>
      </c>
      <c r="AK40" s="0"/>
      <c r="AL40" s="0"/>
      <c r="AM40" s="0"/>
      <c r="AN40" s="0"/>
      <c r="AO40" s="0"/>
      <c r="AP40" s="0"/>
      <c r="AQ40" s="0"/>
      <c r="AR40" s="0"/>
    </row>
    <row r="41" customFormat="false" ht="12.75" hidden="false" customHeight="false" outlineLevel="0" collapsed="false">
      <c r="B41" s="108" t="e">
        <f aca="false">([1]!edate,B40,1)</f>
        <v>#VALUE!</v>
      </c>
      <c r="C41" s="109" t="e">
        <f aca="false">IF($C$11="Physical",B42+24,B42)</f>
        <v>#VALUE!</v>
      </c>
      <c r="D41" s="110" t="n">
        <v>0</v>
      </c>
      <c r="E41" s="111" t="e">
        <f aca="false">VLOOKUP($B41,Model!$A$8:$E$289,5)</f>
        <v>#VALUE!</v>
      </c>
      <c r="F41" s="111" t="e">
        <f aca="false">VLOOKUP($B41,Model!$A$8:$F$289,6)</f>
        <v>#VALUE!</v>
      </c>
      <c r="G41" s="127" t="e">
        <f aca="false">VLOOKUP($B41,Model!$A$8:$AO$289,41)</f>
        <v>#VALUE!</v>
      </c>
      <c r="I41" s="113" t="n">
        <v>0</v>
      </c>
      <c r="J41" s="114" t="e">
        <f aca="false">VLOOKUP($B41,Curve_Fetch,3)</f>
        <v>#VALUE!</v>
      </c>
      <c r="K41" s="121" t="n">
        <f aca="false">K40</f>
        <v>0</v>
      </c>
      <c r="L41" s="116" t="e">
        <f aca="false">IF(Control!$Y$26=Control!$X$27,J41,I41)+K41</f>
        <v>#VALUE!</v>
      </c>
      <c r="M41" s="113" t="n">
        <v>0</v>
      </c>
      <c r="N41" s="114" t="e">
        <f aca="false">VLOOKUP($B41,Curve_Fetch,VLOOKUP(Control!$AJ$10,Control!$AI$11:$AK$22,3))</f>
        <v>#VALUE!</v>
      </c>
      <c r="O41" s="121" t="n">
        <f aca="false">O40</f>
        <v>0</v>
      </c>
      <c r="P41" s="116" t="e">
        <f aca="false">IF(Control!$Y$31=Control!$X$32,N41,M41)+O41</f>
        <v>#VALUE!</v>
      </c>
      <c r="Q41" s="113" t="n">
        <v>0</v>
      </c>
      <c r="R41" s="114" t="e">
        <f aca="false">VLOOKUP($B41,Curve_Fetch,(VLOOKUP(Control!$AJ$10,Control!$AI$11:$AL$22,4)))</f>
        <v>#VALUE!</v>
      </c>
      <c r="S41" s="121" t="n">
        <f aca="false">S40</f>
        <v>0</v>
      </c>
      <c r="T41" s="116" t="e">
        <f aca="false">IF($C$11="Physical",IF(Control!$Y$37=Control!$X$38,R41,Q41)+S41,0)</f>
        <v>#VALUE!</v>
      </c>
      <c r="U41" s="117" t="e">
        <f aca="false">IF($C$11="Financial",L41+P41,L41+P41+T41)</f>
        <v>#VALUE!</v>
      </c>
      <c r="V41" s="114"/>
      <c r="W41" s="118" t="e">
        <f aca="false">VLOOKUP($B41,Model!$A$8:$S$289,19)</f>
        <v>#VALUE!</v>
      </c>
      <c r="X41" s="120" t="n">
        <f aca="false">X40</f>
        <v>0</v>
      </c>
      <c r="Y41" s="120" t="e">
        <f aca="false">W41+X41</f>
        <v>#VALUE!</v>
      </c>
      <c r="Z41" s="121" t="n">
        <f aca="false">Z40</f>
        <v>0</v>
      </c>
      <c r="AA41" s="121" t="e">
        <f aca="false">U41+Z41</f>
        <v>#VALUE!</v>
      </c>
      <c r="AB41" s="128" t="e">
        <f aca="false">EURO(U41,AA41,VLOOKUP($B41,Curve_Fetch,2),VLOOKUP($B41,Curve_Fetch,2),Y41,VLOOKUP($B41,Model!$A$8:$R$289,18),IF(Euro!$C$10="Call",1,0),0)</f>
        <v>#VALUE!</v>
      </c>
      <c r="AD41" s="123" t="e">
        <f aca="false">$G41*L41</f>
        <v>#VALUE!</v>
      </c>
      <c r="AE41" s="124" t="e">
        <f aca="false">$G41*P41</f>
        <v>#VALUE!</v>
      </c>
      <c r="AF41" s="124" t="e">
        <f aca="false">$G41*T41</f>
        <v>#VALUE!</v>
      </c>
      <c r="AG41" s="124" t="e">
        <f aca="false">$G41*U41</f>
        <v>#VALUE!</v>
      </c>
      <c r="AH41" s="124" t="e">
        <f aca="false">$G41*AA41</f>
        <v>#VALUE!</v>
      </c>
      <c r="AI41" s="125" t="e">
        <f aca="false">$F41*AB41</f>
        <v>#VALUE!</v>
      </c>
      <c r="AK41" s="0"/>
      <c r="AL41" s="0"/>
      <c r="AM41" s="0"/>
      <c r="AN41" s="0"/>
      <c r="AO41" s="0"/>
      <c r="AP41" s="0"/>
      <c r="AQ41" s="0"/>
      <c r="AR41" s="0"/>
    </row>
    <row r="42" customFormat="false" ht="12.75" hidden="false" customHeight="false" outlineLevel="0" collapsed="false">
      <c r="B42" s="108" t="e">
        <f aca="false">([1]!edate,B41,1)</f>
        <v>#VALUE!</v>
      </c>
      <c r="C42" s="109" t="e">
        <f aca="false">IF($C$11="Physical",B43+24,B43)</f>
        <v>#VALUE!</v>
      </c>
      <c r="D42" s="110" t="n">
        <v>0</v>
      </c>
      <c r="E42" s="111" t="e">
        <f aca="false">VLOOKUP($B42,Model!$A$8:$E$289,5)</f>
        <v>#VALUE!</v>
      </c>
      <c r="F42" s="111" t="e">
        <f aca="false">VLOOKUP($B42,Model!$A$8:$F$289,6)</f>
        <v>#VALUE!</v>
      </c>
      <c r="G42" s="127" t="e">
        <f aca="false">VLOOKUP($B42,Model!$A$8:$AO$289,41)</f>
        <v>#VALUE!</v>
      </c>
      <c r="I42" s="113" t="n">
        <v>0</v>
      </c>
      <c r="J42" s="114" t="e">
        <f aca="false">VLOOKUP($B42,Curve_Fetch,3)</f>
        <v>#VALUE!</v>
      </c>
      <c r="K42" s="121" t="n">
        <f aca="false">K41</f>
        <v>0</v>
      </c>
      <c r="L42" s="116" t="e">
        <f aca="false">IF(Control!$Y$26=Control!$X$27,J42,I42)+K42</f>
        <v>#VALUE!</v>
      </c>
      <c r="M42" s="113" t="n">
        <v>0</v>
      </c>
      <c r="N42" s="114" t="e">
        <f aca="false">VLOOKUP($B42,Curve_Fetch,VLOOKUP(Control!$AJ$10,Control!$AI$11:$AK$22,3))</f>
        <v>#VALUE!</v>
      </c>
      <c r="O42" s="121" t="n">
        <f aca="false">O41</f>
        <v>0</v>
      </c>
      <c r="P42" s="116" t="e">
        <f aca="false">IF(Control!$Y$31=Control!$X$32,N42,M42)+O42</f>
        <v>#VALUE!</v>
      </c>
      <c r="Q42" s="113" t="n">
        <v>0</v>
      </c>
      <c r="R42" s="114" t="e">
        <f aca="false">VLOOKUP($B42,Curve_Fetch,(VLOOKUP(Control!$AJ$10,Control!$AI$11:$AL$22,4)))</f>
        <v>#VALUE!</v>
      </c>
      <c r="S42" s="121" t="n">
        <f aca="false">S41</f>
        <v>0</v>
      </c>
      <c r="T42" s="116" t="e">
        <f aca="false">IF($C$11="Physical",IF(Control!$Y$37=Control!$X$38,R42,Q42)+S42,0)</f>
        <v>#VALUE!</v>
      </c>
      <c r="U42" s="117" t="e">
        <f aca="false">IF($C$11="Financial",L42+P42,L42+P42+T42)</f>
        <v>#VALUE!</v>
      </c>
      <c r="V42" s="114"/>
      <c r="W42" s="118" t="e">
        <f aca="false">VLOOKUP($B42,Model!$A$8:$S$289,19)</f>
        <v>#VALUE!</v>
      </c>
      <c r="X42" s="120" t="n">
        <f aca="false">X41</f>
        <v>0</v>
      </c>
      <c r="Y42" s="120" t="e">
        <f aca="false">W42+X42</f>
        <v>#VALUE!</v>
      </c>
      <c r="Z42" s="121" t="n">
        <f aca="false">Z41</f>
        <v>0</v>
      </c>
      <c r="AA42" s="121" t="e">
        <f aca="false">U42+Z42</f>
        <v>#VALUE!</v>
      </c>
      <c r="AB42" s="128" t="e">
        <f aca="false">EURO(U42,AA42,VLOOKUP($B42,Curve_Fetch,2),VLOOKUP($B42,Curve_Fetch,2),Y42,VLOOKUP($B42,Model!$A$8:$R$289,18),IF(Euro!$C$10="Call",1,0),0)</f>
        <v>#VALUE!</v>
      </c>
      <c r="AD42" s="123" t="e">
        <f aca="false">$G42*L42</f>
        <v>#VALUE!</v>
      </c>
      <c r="AE42" s="124" t="e">
        <f aca="false">$G42*P42</f>
        <v>#VALUE!</v>
      </c>
      <c r="AF42" s="124" t="e">
        <f aca="false">$G42*T42</f>
        <v>#VALUE!</v>
      </c>
      <c r="AG42" s="124" t="e">
        <f aca="false">$G42*U42</f>
        <v>#VALUE!</v>
      </c>
      <c r="AH42" s="124" t="e">
        <f aca="false">$G42*AA42</f>
        <v>#VALUE!</v>
      </c>
      <c r="AI42" s="125" t="e">
        <f aca="false">$F42*AB42</f>
        <v>#VALUE!</v>
      </c>
      <c r="AK42" s="0"/>
      <c r="AL42" s="0"/>
      <c r="AM42" s="0"/>
      <c r="AN42" s="0"/>
      <c r="AO42" s="0"/>
      <c r="AP42" s="0"/>
      <c r="AQ42" s="0"/>
      <c r="AR42" s="0"/>
    </row>
    <row r="43" customFormat="false" ht="12.75" hidden="false" customHeight="false" outlineLevel="0" collapsed="false">
      <c r="B43" s="108" t="e">
        <f aca="false">([1]!edate,B42,1)</f>
        <v>#VALUE!</v>
      </c>
      <c r="C43" s="109" t="e">
        <f aca="false">IF($C$11="Physical",B44+24,B44)</f>
        <v>#VALUE!</v>
      </c>
      <c r="D43" s="110" t="n">
        <v>0</v>
      </c>
      <c r="E43" s="111" t="e">
        <f aca="false">VLOOKUP($B43,Model!$A$8:$E$289,5)</f>
        <v>#VALUE!</v>
      </c>
      <c r="F43" s="111" t="e">
        <f aca="false">VLOOKUP($B43,Model!$A$8:$F$289,6)</f>
        <v>#VALUE!</v>
      </c>
      <c r="G43" s="127" t="e">
        <f aca="false">VLOOKUP($B43,Model!$A$8:$AO$289,41)</f>
        <v>#VALUE!</v>
      </c>
      <c r="I43" s="113" t="n">
        <v>0</v>
      </c>
      <c r="J43" s="114" t="e">
        <f aca="false">VLOOKUP($B43,Curve_Fetch,3)</f>
        <v>#VALUE!</v>
      </c>
      <c r="K43" s="121" t="n">
        <f aca="false">K42</f>
        <v>0</v>
      </c>
      <c r="L43" s="116" t="e">
        <f aca="false">IF(Control!$Y$26=Control!$X$27,J43,I43)+K43</f>
        <v>#VALUE!</v>
      </c>
      <c r="M43" s="113" t="n">
        <v>0</v>
      </c>
      <c r="N43" s="114" t="e">
        <f aca="false">VLOOKUP($B43,Curve_Fetch,VLOOKUP(Control!$AJ$10,Control!$AI$11:$AK$22,3))</f>
        <v>#VALUE!</v>
      </c>
      <c r="O43" s="121" t="n">
        <f aca="false">O42</f>
        <v>0</v>
      </c>
      <c r="P43" s="116" t="e">
        <f aca="false">IF(Control!$Y$31=Control!$X$32,N43,M43)+O43</f>
        <v>#VALUE!</v>
      </c>
      <c r="Q43" s="113" t="n">
        <v>0</v>
      </c>
      <c r="R43" s="114" t="e">
        <f aca="false">VLOOKUP($B43,Curve_Fetch,(VLOOKUP(Control!$AJ$10,Control!$AI$11:$AL$22,4)))</f>
        <v>#VALUE!</v>
      </c>
      <c r="S43" s="121" t="n">
        <f aca="false">S42</f>
        <v>0</v>
      </c>
      <c r="T43" s="116" t="e">
        <f aca="false">IF($C$11="Physical",IF(Control!$Y$37=Control!$X$38,R43,Q43)+S43,0)</f>
        <v>#VALUE!</v>
      </c>
      <c r="U43" s="117" t="e">
        <f aca="false">IF($C$11="Financial",L43+P43,L43+P43+T43)</f>
        <v>#VALUE!</v>
      </c>
      <c r="V43" s="114"/>
      <c r="W43" s="118" t="e">
        <f aca="false">VLOOKUP($B43,Model!$A$8:$S$289,19)</f>
        <v>#VALUE!</v>
      </c>
      <c r="X43" s="120" t="n">
        <f aca="false">X42</f>
        <v>0</v>
      </c>
      <c r="Y43" s="120" t="e">
        <f aca="false">W43+X43</f>
        <v>#VALUE!</v>
      </c>
      <c r="Z43" s="121" t="n">
        <f aca="false">Z42</f>
        <v>0</v>
      </c>
      <c r="AA43" s="121" t="e">
        <f aca="false">U43+Z43</f>
        <v>#VALUE!</v>
      </c>
      <c r="AB43" s="128" t="e">
        <f aca="false">EURO(U43,AA43,VLOOKUP($B43,Curve_Fetch,2),VLOOKUP($B43,Curve_Fetch,2),Y43,VLOOKUP($B43,Model!$A$8:$R$289,18),IF(Euro!$C$10="Call",1,0),0)</f>
        <v>#VALUE!</v>
      </c>
      <c r="AD43" s="123" t="e">
        <f aca="false">$G43*L43</f>
        <v>#VALUE!</v>
      </c>
      <c r="AE43" s="124" t="e">
        <f aca="false">$G43*P43</f>
        <v>#VALUE!</v>
      </c>
      <c r="AF43" s="124" t="e">
        <f aca="false">$G43*T43</f>
        <v>#VALUE!</v>
      </c>
      <c r="AG43" s="124" t="e">
        <f aca="false">$G43*U43</f>
        <v>#VALUE!</v>
      </c>
      <c r="AH43" s="124" t="e">
        <f aca="false">$G43*AA43</f>
        <v>#VALUE!</v>
      </c>
      <c r="AI43" s="125" t="e">
        <f aca="false">$F43*AB43</f>
        <v>#VALUE!</v>
      </c>
      <c r="AK43" s="0"/>
      <c r="AL43" s="0"/>
      <c r="AM43" s="0"/>
      <c r="AN43" s="0"/>
      <c r="AO43" s="0"/>
      <c r="AP43" s="0"/>
      <c r="AQ43" s="0"/>
      <c r="AR43" s="0"/>
    </row>
    <row r="44" customFormat="false" ht="12.75" hidden="false" customHeight="false" outlineLevel="0" collapsed="false">
      <c r="B44" s="108" t="e">
        <f aca="false">([1]!edate,B43,1)</f>
        <v>#VALUE!</v>
      </c>
      <c r="C44" s="109" t="e">
        <f aca="false">IF($C$11="Physical",B45+24,B45)</f>
        <v>#VALUE!</v>
      </c>
      <c r="D44" s="110" t="n">
        <v>0</v>
      </c>
      <c r="E44" s="111" t="e">
        <f aca="false">VLOOKUP($B44,Model!$A$8:$E$289,5)</f>
        <v>#VALUE!</v>
      </c>
      <c r="F44" s="111" t="e">
        <f aca="false">VLOOKUP($B44,Model!$A$8:$F$289,6)</f>
        <v>#VALUE!</v>
      </c>
      <c r="G44" s="127" t="e">
        <f aca="false">VLOOKUP($B44,Model!$A$8:$AO$289,41)</f>
        <v>#VALUE!</v>
      </c>
      <c r="I44" s="113" t="n">
        <v>0</v>
      </c>
      <c r="J44" s="114" t="e">
        <f aca="false">VLOOKUP($B44,Curve_Fetch,3)</f>
        <v>#VALUE!</v>
      </c>
      <c r="K44" s="121" t="n">
        <f aca="false">K43</f>
        <v>0</v>
      </c>
      <c r="L44" s="116" t="e">
        <f aca="false">IF(Control!$Y$26=Control!$X$27,J44,I44)+K44</f>
        <v>#VALUE!</v>
      </c>
      <c r="M44" s="113" t="n">
        <v>0</v>
      </c>
      <c r="N44" s="114" t="e">
        <f aca="false">VLOOKUP($B44,Curve_Fetch,VLOOKUP(Control!$AJ$10,Control!$AI$11:$AK$22,3))</f>
        <v>#VALUE!</v>
      </c>
      <c r="O44" s="121" t="n">
        <f aca="false">O43</f>
        <v>0</v>
      </c>
      <c r="P44" s="116" t="e">
        <f aca="false">IF(Control!$Y$31=Control!$X$32,N44,M44)+O44</f>
        <v>#VALUE!</v>
      </c>
      <c r="Q44" s="113" t="n">
        <v>0</v>
      </c>
      <c r="R44" s="114" t="e">
        <f aca="false">VLOOKUP($B44,Curve_Fetch,(VLOOKUP(Control!$AJ$10,Control!$AI$11:$AL$22,4)))</f>
        <v>#VALUE!</v>
      </c>
      <c r="S44" s="121" t="n">
        <f aca="false">S43</f>
        <v>0</v>
      </c>
      <c r="T44" s="116" t="e">
        <f aca="false">IF($C$11="Physical",IF(Control!$Y$37=Control!$X$38,R44,Q44)+S44,0)</f>
        <v>#VALUE!</v>
      </c>
      <c r="U44" s="117" t="e">
        <f aca="false">IF($C$11="Financial",L44+P44,L44+P44+T44)</f>
        <v>#VALUE!</v>
      </c>
      <c r="V44" s="114"/>
      <c r="W44" s="118" t="e">
        <f aca="false">VLOOKUP($B44,Model!$A$8:$S$289,19)</f>
        <v>#VALUE!</v>
      </c>
      <c r="X44" s="120" t="n">
        <f aca="false">X43</f>
        <v>0</v>
      </c>
      <c r="Y44" s="120" t="e">
        <f aca="false">W44+X44</f>
        <v>#VALUE!</v>
      </c>
      <c r="Z44" s="121" t="n">
        <f aca="false">Z43</f>
        <v>0</v>
      </c>
      <c r="AA44" s="121" t="e">
        <f aca="false">U44+Z44</f>
        <v>#VALUE!</v>
      </c>
      <c r="AB44" s="128" t="e">
        <f aca="false">EURO(U44,AA44,VLOOKUP($B44,Curve_Fetch,2),VLOOKUP($B44,Curve_Fetch,2),Y44,VLOOKUP($B44,Model!$A$8:$R$289,18),IF(Euro!$C$10="Call",1,0),0)</f>
        <v>#VALUE!</v>
      </c>
      <c r="AD44" s="123" t="e">
        <f aca="false">$G44*L44</f>
        <v>#VALUE!</v>
      </c>
      <c r="AE44" s="124" t="e">
        <f aca="false">$G44*P44</f>
        <v>#VALUE!</v>
      </c>
      <c r="AF44" s="124" t="e">
        <f aca="false">$G44*T44</f>
        <v>#VALUE!</v>
      </c>
      <c r="AG44" s="124" t="e">
        <f aca="false">$G44*U44</f>
        <v>#VALUE!</v>
      </c>
      <c r="AH44" s="124" t="e">
        <f aca="false">$G44*AA44</f>
        <v>#VALUE!</v>
      </c>
      <c r="AI44" s="125" t="e">
        <f aca="false">$F44*AB44</f>
        <v>#VALUE!</v>
      </c>
      <c r="AK44" s="0"/>
      <c r="AL44" s="0"/>
      <c r="AM44" s="0"/>
      <c r="AN44" s="0"/>
      <c r="AO44" s="0"/>
      <c r="AP44" s="0"/>
      <c r="AQ44" s="0"/>
      <c r="AR44" s="0"/>
    </row>
    <row r="45" customFormat="false" ht="12.75" hidden="false" customHeight="false" outlineLevel="0" collapsed="false">
      <c r="B45" s="108" t="e">
        <f aca="false">([1]!edate,B44,1)</f>
        <v>#VALUE!</v>
      </c>
      <c r="C45" s="109" t="e">
        <f aca="false">IF($C$11="Physical",B46+24,B46)</f>
        <v>#VALUE!</v>
      </c>
      <c r="D45" s="110" t="n">
        <v>0</v>
      </c>
      <c r="E45" s="111" t="e">
        <f aca="false">VLOOKUP($B45,Model!$A$8:$E$289,5)</f>
        <v>#VALUE!</v>
      </c>
      <c r="F45" s="111" t="e">
        <f aca="false">VLOOKUP($B45,Model!$A$8:$F$289,6)</f>
        <v>#VALUE!</v>
      </c>
      <c r="G45" s="127" t="e">
        <f aca="false">VLOOKUP($B45,Model!$A$8:$AO$289,41)</f>
        <v>#VALUE!</v>
      </c>
      <c r="I45" s="113" t="n">
        <v>0</v>
      </c>
      <c r="J45" s="114" t="e">
        <f aca="false">VLOOKUP($B45,Curve_Fetch,3)</f>
        <v>#VALUE!</v>
      </c>
      <c r="K45" s="121" t="n">
        <f aca="false">K44</f>
        <v>0</v>
      </c>
      <c r="L45" s="116" t="e">
        <f aca="false">IF(Control!$Y$26=Control!$X$27,J45,I45)+K45</f>
        <v>#VALUE!</v>
      </c>
      <c r="M45" s="113" t="n">
        <v>0</v>
      </c>
      <c r="N45" s="114" t="e">
        <f aca="false">VLOOKUP($B45,Curve_Fetch,VLOOKUP(Control!$AJ$10,Control!$AI$11:$AK$22,3))</f>
        <v>#VALUE!</v>
      </c>
      <c r="O45" s="121" t="n">
        <f aca="false">O44</f>
        <v>0</v>
      </c>
      <c r="P45" s="116" t="e">
        <f aca="false">IF(Control!$Y$31=Control!$X$32,N45,M45)+O45</f>
        <v>#VALUE!</v>
      </c>
      <c r="Q45" s="113" t="n">
        <v>0</v>
      </c>
      <c r="R45" s="114" t="e">
        <f aca="false">VLOOKUP($B45,Curve_Fetch,(VLOOKUP(Control!$AJ$10,Control!$AI$11:$AL$22,4)))</f>
        <v>#VALUE!</v>
      </c>
      <c r="S45" s="121" t="n">
        <f aca="false">S44</f>
        <v>0</v>
      </c>
      <c r="T45" s="116" t="e">
        <f aca="false">IF($C$11="Physical",IF(Control!$Y$37=Control!$X$38,R45,Q45)+S45,0)</f>
        <v>#VALUE!</v>
      </c>
      <c r="U45" s="117" t="e">
        <f aca="false">IF($C$11="Financial",L45+P45,L45+P45+T45)</f>
        <v>#VALUE!</v>
      </c>
      <c r="V45" s="114"/>
      <c r="W45" s="118" t="e">
        <f aca="false">VLOOKUP($B45,Model!$A$8:$S$289,19)</f>
        <v>#VALUE!</v>
      </c>
      <c r="X45" s="120" t="n">
        <f aca="false">X44</f>
        <v>0</v>
      </c>
      <c r="Y45" s="120" t="e">
        <f aca="false">W45+X45</f>
        <v>#VALUE!</v>
      </c>
      <c r="Z45" s="121" t="n">
        <f aca="false">Z44</f>
        <v>0</v>
      </c>
      <c r="AA45" s="121" t="e">
        <f aca="false">U45+Z45</f>
        <v>#VALUE!</v>
      </c>
      <c r="AB45" s="128" t="e">
        <f aca="false">EURO(U45,AA45,VLOOKUP($B45,Curve_Fetch,2),VLOOKUP($B45,Curve_Fetch,2),Y45,VLOOKUP($B45,Model!$A$8:$R$289,18),IF(Euro!$C$10="Call",1,0),0)</f>
        <v>#VALUE!</v>
      </c>
      <c r="AD45" s="123" t="e">
        <f aca="false">$G45*L45</f>
        <v>#VALUE!</v>
      </c>
      <c r="AE45" s="124" t="e">
        <f aca="false">$G45*P45</f>
        <v>#VALUE!</v>
      </c>
      <c r="AF45" s="124" t="e">
        <f aca="false">$G45*T45</f>
        <v>#VALUE!</v>
      </c>
      <c r="AG45" s="124" t="e">
        <f aca="false">$G45*U45</f>
        <v>#VALUE!</v>
      </c>
      <c r="AH45" s="124" t="e">
        <f aca="false">$G45*AA45</f>
        <v>#VALUE!</v>
      </c>
      <c r="AI45" s="125" t="e">
        <f aca="false">$F45*AB45</f>
        <v>#VALUE!</v>
      </c>
      <c r="AK45" s="0"/>
      <c r="AL45" s="0"/>
      <c r="AM45" s="0"/>
      <c r="AN45" s="0"/>
      <c r="AO45" s="0"/>
      <c r="AP45" s="0"/>
      <c r="AQ45" s="0"/>
      <c r="AR45" s="0"/>
    </row>
    <row r="46" customFormat="false" ht="12.75" hidden="false" customHeight="false" outlineLevel="0" collapsed="false">
      <c r="B46" s="108" t="e">
        <f aca="false">([1]!edate,B45,1)</f>
        <v>#VALUE!</v>
      </c>
      <c r="C46" s="109" t="e">
        <f aca="false">IF($C$11="Physical",B47+24,B47)</f>
        <v>#VALUE!</v>
      </c>
      <c r="D46" s="110" t="n">
        <v>0</v>
      </c>
      <c r="E46" s="111" t="e">
        <f aca="false">VLOOKUP($B46,Model!$A$8:$E$289,5)</f>
        <v>#VALUE!</v>
      </c>
      <c r="F46" s="111" t="e">
        <f aca="false">VLOOKUP($B46,Model!$A$8:$F$289,6)</f>
        <v>#VALUE!</v>
      </c>
      <c r="G46" s="127" t="e">
        <f aca="false">VLOOKUP($B46,Model!$A$8:$AO$289,41)</f>
        <v>#VALUE!</v>
      </c>
      <c r="I46" s="113" t="n">
        <v>0</v>
      </c>
      <c r="J46" s="114" t="e">
        <f aca="false">VLOOKUP($B46,Curve_Fetch,3)</f>
        <v>#VALUE!</v>
      </c>
      <c r="K46" s="121" t="n">
        <f aca="false">K45</f>
        <v>0</v>
      </c>
      <c r="L46" s="116" t="e">
        <f aca="false">IF(Control!$Y$26=Control!$X$27,J46,I46)+K46</f>
        <v>#VALUE!</v>
      </c>
      <c r="M46" s="113" t="n">
        <v>0</v>
      </c>
      <c r="N46" s="114" t="e">
        <f aca="false">VLOOKUP($B46,Curve_Fetch,VLOOKUP(Control!$AJ$10,Control!$AI$11:$AK$22,3))</f>
        <v>#VALUE!</v>
      </c>
      <c r="O46" s="121" t="n">
        <f aca="false">O45</f>
        <v>0</v>
      </c>
      <c r="P46" s="116" t="e">
        <f aca="false">IF(Control!$Y$31=Control!$X$32,N46,M46)+O46</f>
        <v>#VALUE!</v>
      </c>
      <c r="Q46" s="113" t="n">
        <v>0</v>
      </c>
      <c r="R46" s="114" t="e">
        <f aca="false">VLOOKUP($B46,Curve_Fetch,(VLOOKUP(Control!$AJ$10,Control!$AI$11:$AL$22,4)))</f>
        <v>#VALUE!</v>
      </c>
      <c r="S46" s="121" t="n">
        <f aca="false">S45</f>
        <v>0</v>
      </c>
      <c r="T46" s="116" t="e">
        <f aca="false">IF($C$11="Physical",IF(Control!$Y$37=Control!$X$38,R46,Q46)+S46,0)</f>
        <v>#VALUE!</v>
      </c>
      <c r="U46" s="117" t="e">
        <f aca="false">IF($C$11="Financial",L46+P46,L46+P46+T46)</f>
        <v>#VALUE!</v>
      </c>
      <c r="V46" s="114"/>
      <c r="W46" s="118" t="e">
        <f aca="false">VLOOKUP($B46,Model!$A$8:$S$289,19)</f>
        <v>#VALUE!</v>
      </c>
      <c r="X46" s="120" t="n">
        <f aca="false">X45</f>
        <v>0</v>
      </c>
      <c r="Y46" s="120" t="e">
        <f aca="false">W46+X46</f>
        <v>#VALUE!</v>
      </c>
      <c r="Z46" s="121" t="n">
        <f aca="false">Z45</f>
        <v>0</v>
      </c>
      <c r="AA46" s="121" t="e">
        <f aca="false">U46+Z46</f>
        <v>#VALUE!</v>
      </c>
      <c r="AB46" s="128" t="e">
        <f aca="false">EURO(U46,AA46,VLOOKUP($B46,Curve_Fetch,2),VLOOKUP($B46,Curve_Fetch,2),Y46,VLOOKUP($B46,Model!$A$8:$R$289,18),IF(Euro!$C$10="Call",1,0),0)</f>
        <v>#VALUE!</v>
      </c>
      <c r="AD46" s="123" t="e">
        <f aca="false">$G46*L46</f>
        <v>#VALUE!</v>
      </c>
      <c r="AE46" s="124" t="e">
        <f aca="false">$G46*P46</f>
        <v>#VALUE!</v>
      </c>
      <c r="AF46" s="124" t="e">
        <f aca="false">$G46*T46</f>
        <v>#VALUE!</v>
      </c>
      <c r="AG46" s="124" t="e">
        <f aca="false">$G46*U46</f>
        <v>#VALUE!</v>
      </c>
      <c r="AH46" s="124" t="e">
        <f aca="false">$G46*AA46</f>
        <v>#VALUE!</v>
      </c>
      <c r="AI46" s="125" t="e">
        <f aca="false">$F46*AB46</f>
        <v>#VALUE!</v>
      </c>
      <c r="AK46" s="0"/>
      <c r="AL46" s="0"/>
      <c r="AM46" s="0"/>
      <c r="AN46" s="0"/>
      <c r="AO46" s="0"/>
      <c r="AP46" s="0"/>
      <c r="AQ46" s="0"/>
      <c r="AR46" s="0"/>
    </row>
    <row r="47" customFormat="false" ht="12.75" hidden="false" customHeight="false" outlineLevel="0" collapsed="false">
      <c r="B47" s="108" t="e">
        <f aca="false">([1]!edate,B46,1)</f>
        <v>#VALUE!</v>
      </c>
      <c r="C47" s="109" t="e">
        <f aca="false">IF($C$11="Physical",B48+24,B48)</f>
        <v>#VALUE!</v>
      </c>
      <c r="D47" s="110" t="n">
        <v>0</v>
      </c>
      <c r="E47" s="111" t="e">
        <f aca="false">VLOOKUP($B47,Model!$A$8:$E$289,5)</f>
        <v>#VALUE!</v>
      </c>
      <c r="F47" s="111" t="e">
        <f aca="false">VLOOKUP($B47,Model!$A$8:$F$289,6)</f>
        <v>#VALUE!</v>
      </c>
      <c r="G47" s="127" t="e">
        <f aca="false">VLOOKUP($B47,Model!$A$8:$AO$289,41)</f>
        <v>#VALUE!</v>
      </c>
      <c r="I47" s="113" t="n">
        <v>0</v>
      </c>
      <c r="J47" s="114" t="e">
        <f aca="false">VLOOKUP($B47,Curve_Fetch,3)</f>
        <v>#VALUE!</v>
      </c>
      <c r="K47" s="121" t="n">
        <f aca="false">K46</f>
        <v>0</v>
      </c>
      <c r="L47" s="116" t="e">
        <f aca="false">IF(Control!$Y$26=Control!$X$27,J47,I47)+K47</f>
        <v>#VALUE!</v>
      </c>
      <c r="M47" s="113" t="n">
        <v>0</v>
      </c>
      <c r="N47" s="114" t="e">
        <f aca="false">VLOOKUP($B47,Curve_Fetch,VLOOKUP(Control!$AJ$10,Control!$AI$11:$AK$22,3))</f>
        <v>#VALUE!</v>
      </c>
      <c r="O47" s="121" t="n">
        <f aca="false">O46</f>
        <v>0</v>
      </c>
      <c r="P47" s="116" t="e">
        <f aca="false">IF(Control!$Y$31=Control!$X$32,N47,M47)+O47</f>
        <v>#VALUE!</v>
      </c>
      <c r="Q47" s="113" t="n">
        <v>0</v>
      </c>
      <c r="R47" s="114" t="e">
        <f aca="false">VLOOKUP($B47,Curve_Fetch,(VLOOKUP(Control!$AJ$10,Control!$AI$11:$AL$22,4)))</f>
        <v>#VALUE!</v>
      </c>
      <c r="S47" s="121" t="n">
        <f aca="false">S46</f>
        <v>0</v>
      </c>
      <c r="T47" s="116" t="e">
        <f aca="false">IF($C$11="Physical",IF(Control!$Y$37=Control!$X$38,R47,Q47)+S47,0)</f>
        <v>#VALUE!</v>
      </c>
      <c r="U47" s="117" t="e">
        <f aca="false">IF($C$11="Financial",L47+P47,L47+P47+T47)</f>
        <v>#VALUE!</v>
      </c>
      <c r="V47" s="114"/>
      <c r="W47" s="118" t="e">
        <f aca="false">VLOOKUP($B47,Model!$A$8:$S$289,19)</f>
        <v>#VALUE!</v>
      </c>
      <c r="X47" s="120" t="n">
        <f aca="false">X46</f>
        <v>0</v>
      </c>
      <c r="Y47" s="120" t="e">
        <f aca="false">W47+X47</f>
        <v>#VALUE!</v>
      </c>
      <c r="Z47" s="121" t="n">
        <f aca="false">Z46</f>
        <v>0</v>
      </c>
      <c r="AA47" s="121" t="e">
        <f aca="false">U47+Z47</f>
        <v>#VALUE!</v>
      </c>
      <c r="AB47" s="128" t="e">
        <f aca="false">EURO(U47,AA47,VLOOKUP($B47,Curve_Fetch,2),VLOOKUP($B47,Curve_Fetch,2),Y47,VLOOKUP($B47,Model!$A$8:$R$289,18),IF(Euro!$C$10="Call",1,0),0)</f>
        <v>#VALUE!</v>
      </c>
      <c r="AD47" s="123" t="e">
        <f aca="false">$G47*L47</f>
        <v>#VALUE!</v>
      </c>
      <c r="AE47" s="124" t="e">
        <f aca="false">$G47*P47</f>
        <v>#VALUE!</v>
      </c>
      <c r="AF47" s="124" t="e">
        <f aca="false">$G47*T47</f>
        <v>#VALUE!</v>
      </c>
      <c r="AG47" s="124" t="e">
        <f aca="false">$G47*U47</f>
        <v>#VALUE!</v>
      </c>
      <c r="AH47" s="124" t="e">
        <f aca="false">$G47*AA47</f>
        <v>#VALUE!</v>
      </c>
      <c r="AI47" s="125" t="e">
        <f aca="false">$F47*AB47</f>
        <v>#VALUE!</v>
      </c>
      <c r="AK47" s="0"/>
      <c r="AL47" s="0"/>
      <c r="AM47" s="0"/>
      <c r="AN47" s="0"/>
      <c r="AO47" s="0"/>
      <c r="AP47" s="0"/>
      <c r="AQ47" s="0"/>
      <c r="AR47" s="0"/>
    </row>
    <row r="48" customFormat="false" ht="12.75" hidden="false" customHeight="false" outlineLevel="0" collapsed="false">
      <c r="B48" s="108" t="e">
        <f aca="false">([1]!edate,B47,1)</f>
        <v>#VALUE!</v>
      </c>
      <c r="C48" s="109" t="e">
        <f aca="false">IF($C$11="Physical",B49+24,B49)</f>
        <v>#VALUE!</v>
      </c>
      <c r="D48" s="110" t="n">
        <v>0</v>
      </c>
      <c r="E48" s="111" t="e">
        <f aca="false">VLOOKUP($B48,Model!$A$8:$E$289,5)</f>
        <v>#VALUE!</v>
      </c>
      <c r="F48" s="111" t="e">
        <f aca="false">VLOOKUP($B48,Model!$A$8:$F$289,6)</f>
        <v>#VALUE!</v>
      </c>
      <c r="G48" s="127" t="e">
        <f aca="false">VLOOKUP($B48,Model!$A$8:$AO$289,41)</f>
        <v>#VALUE!</v>
      </c>
      <c r="I48" s="113" t="n">
        <v>0</v>
      </c>
      <c r="J48" s="114" t="e">
        <f aca="false">VLOOKUP($B48,Curve_Fetch,3)</f>
        <v>#VALUE!</v>
      </c>
      <c r="K48" s="121" t="n">
        <f aca="false">K47</f>
        <v>0</v>
      </c>
      <c r="L48" s="116" t="e">
        <f aca="false">IF(Control!$Y$26=Control!$X$27,J48,I48)+K48</f>
        <v>#VALUE!</v>
      </c>
      <c r="M48" s="113" t="n">
        <v>0</v>
      </c>
      <c r="N48" s="114" t="e">
        <f aca="false">VLOOKUP($B48,Curve_Fetch,VLOOKUP(Control!$AJ$10,Control!$AI$11:$AK$22,3))</f>
        <v>#VALUE!</v>
      </c>
      <c r="O48" s="121" t="n">
        <f aca="false">O47</f>
        <v>0</v>
      </c>
      <c r="P48" s="116" t="e">
        <f aca="false">IF(Control!$Y$31=Control!$X$32,N48,M48)+O48</f>
        <v>#VALUE!</v>
      </c>
      <c r="Q48" s="113" t="n">
        <v>0</v>
      </c>
      <c r="R48" s="114" t="e">
        <f aca="false">VLOOKUP($B48,Curve_Fetch,(VLOOKUP(Control!$AJ$10,Control!$AI$11:$AL$22,4)))</f>
        <v>#VALUE!</v>
      </c>
      <c r="S48" s="121" t="n">
        <f aca="false">S47</f>
        <v>0</v>
      </c>
      <c r="T48" s="116" t="e">
        <f aca="false">IF($C$11="Physical",IF(Control!$Y$37=Control!$X$38,R48,Q48)+S48,0)</f>
        <v>#VALUE!</v>
      </c>
      <c r="U48" s="117" t="e">
        <f aca="false">IF($C$11="Financial",L48+P48,L48+P48+T48)</f>
        <v>#VALUE!</v>
      </c>
      <c r="V48" s="114"/>
      <c r="W48" s="118" t="e">
        <f aca="false">VLOOKUP($B48,Model!$A$8:$S$289,19)</f>
        <v>#VALUE!</v>
      </c>
      <c r="X48" s="120" t="n">
        <f aca="false">X47</f>
        <v>0</v>
      </c>
      <c r="Y48" s="120" t="e">
        <f aca="false">W48+X48</f>
        <v>#VALUE!</v>
      </c>
      <c r="Z48" s="121" t="n">
        <f aca="false">Z47</f>
        <v>0</v>
      </c>
      <c r="AA48" s="121" t="e">
        <f aca="false">U48+Z48</f>
        <v>#VALUE!</v>
      </c>
      <c r="AB48" s="128" t="e">
        <f aca="false">EURO(U48,AA48,VLOOKUP($B48,Curve_Fetch,2),VLOOKUP($B48,Curve_Fetch,2),Y48,VLOOKUP($B48,Model!$A$8:$R$289,18),IF(Euro!$C$10="Call",1,0),0)</f>
        <v>#VALUE!</v>
      </c>
      <c r="AD48" s="123" t="e">
        <f aca="false">$G48*L48</f>
        <v>#VALUE!</v>
      </c>
      <c r="AE48" s="124" t="e">
        <f aca="false">$G48*P48</f>
        <v>#VALUE!</v>
      </c>
      <c r="AF48" s="124" t="e">
        <f aca="false">$G48*T48</f>
        <v>#VALUE!</v>
      </c>
      <c r="AG48" s="124" t="e">
        <f aca="false">$G48*U48</f>
        <v>#VALUE!</v>
      </c>
      <c r="AH48" s="124" t="e">
        <f aca="false">$G48*AA48</f>
        <v>#VALUE!</v>
      </c>
      <c r="AI48" s="125" t="e">
        <f aca="false">$F48*AB48</f>
        <v>#VALUE!</v>
      </c>
      <c r="AK48" s="0"/>
      <c r="AL48" s="0"/>
      <c r="AM48" s="0"/>
      <c r="AN48" s="0"/>
      <c r="AO48" s="0"/>
      <c r="AP48" s="0"/>
      <c r="AQ48" s="0"/>
      <c r="AR48" s="0"/>
    </row>
    <row r="49" customFormat="false" ht="12.75" hidden="false" customHeight="false" outlineLevel="0" collapsed="false">
      <c r="B49" s="108" t="e">
        <f aca="false">([1]!edate,B48,1)</f>
        <v>#VALUE!</v>
      </c>
      <c r="C49" s="109" t="e">
        <f aca="false">IF($C$11="Physical",B50+24,B50)</f>
        <v>#VALUE!</v>
      </c>
      <c r="D49" s="110" t="n">
        <v>0</v>
      </c>
      <c r="E49" s="111" t="e">
        <f aca="false">VLOOKUP($B49,Model!$A$8:$E$289,5)</f>
        <v>#VALUE!</v>
      </c>
      <c r="F49" s="111" t="e">
        <f aca="false">VLOOKUP($B49,Model!$A$8:$F$289,6)</f>
        <v>#VALUE!</v>
      </c>
      <c r="G49" s="127" t="e">
        <f aca="false">VLOOKUP($B49,Model!$A$8:$AO$289,41)</f>
        <v>#VALUE!</v>
      </c>
      <c r="I49" s="113" t="n">
        <v>0</v>
      </c>
      <c r="J49" s="114" t="e">
        <f aca="false">VLOOKUP($B49,Curve_Fetch,3)</f>
        <v>#VALUE!</v>
      </c>
      <c r="K49" s="121" t="n">
        <f aca="false">K48</f>
        <v>0</v>
      </c>
      <c r="L49" s="116" t="e">
        <f aca="false">IF(Control!$Y$26=Control!$X$27,J49,I49)+K49</f>
        <v>#VALUE!</v>
      </c>
      <c r="M49" s="113" t="n">
        <v>0</v>
      </c>
      <c r="N49" s="114" t="e">
        <f aca="false">VLOOKUP($B49,Curve_Fetch,VLOOKUP(Control!$AJ$10,Control!$AI$11:$AK$22,3))</f>
        <v>#VALUE!</v>
      </c>
      <c r="O49" s="121" t="n">
        <f aca="false">O48</f>
        <v>0</v>
      </c>
      <c r="P49" s="116" t="e">
        <f aca="false">IF(Control!$Y$31=Control!$X$32,N49,M49)+O49</f>
        <v>#VALUE!</v>
      </c>
      <c r="Q49" s="113" t="n">
        <v>0</v>
      </c>
      <c r="R49" s="114" t="e">
        <f aca="false">VLOOKUP($B49,Curve_Fetch,(VLOOKUP(Control!$AJ$10,Control!$AI$11:$AL$22,4)))</f>
        <v>#VALUE!</v>
      </c>
      <c r="S49" s="121" t="n">
        <f aca="false">S48</f>
        <v>0</v>
      </c>
      <c r="T49" s="116" t="e">
        <f aca="false">IF($C$11="Physical",IF(Control!$Y$37=Control!$X$38,R49,Q49)+S49,0)</f>
        <v>#VALUE!</v>
      </c>
      <c r="U49" s="117" t="e">
        <f aca="false">IF($C$11="Financial",L49+P49,L49+P49+T49)</f>
        <v>#VALUE!</v>
      </c>
      <c r="V49" s="114"/>
      <c r="W49" s="118" t="e">
        <f aca="false">VLOOKUP($B49,Model!$A$8:$S$289,19)</f>
        <v>#VALUE!</v>
      </c>
      <c r="X49" s="120" t="n">
        <f aca="false">X48</f>
        <v>0</v>
      </c>
      <c r="Y49" s="120" t="e">
        <f aca="false">W49+X49</f>
        <v>#VALUE!</v>
      </c>
      <c r="Z49" s="121" t="n">
        <f aca="false">Z48</f>
        <v>0</v>
      </c>
      <c r="AA49" s="121" t="e">
        <f aca="false">U49+Z49</f>
        <v>#VALUE!</v>
      </c>
      <c r="AB49" s="128" t="e">
        <f aca="false">EURO(U49,AA49,VLOOKUP($B49,Curve_Fetch,2),VLOOKUP($B49,Curve_Fetch,2),Y49,VLOOKUP($B49,Model!$A$8:$R$289,18),IF(Euro!$C$10="Call",1,0),0)</f>
        <v>#VALUE!</v>
      </c>
      <c r="AD49" s="123" t="e">
        <f aca="false">$G49*L49</f>
        <v>#VALUE!</v>
      </c>
      <c r="AE49" s="124" t="e">
        <f aca="false">$G49*P49</f>
        <v>#VALUE!</v>
      </c>
      <c r="AF49" s="124" t="e">
        <f aca="false">$G49*T49</f>
        <v>#VALUE!</v>
      </c>
      <c r="AG49" s="124" t="e">
        <f aca="false">$G49*U49</f>
        <v>#VALUE!</v>
      </c>
      <c r="AH49" s="124" t="e">
        <f aca="false">$G49*AA49</f>
        <v>#VALUE!</v>
      </c>
      <c r="AI49" s="125" t="e">
        <f aca="false">$F49*AB49</f>
        <v>#VALUE!</v>
      </c>
      <c r="AK49" s="0"/>
      <c r="AL49" s="0"/>
      <c r="AM49" s="0"/>
      <c r="AN49" s="0"/>
      <c r="AO49" s="0"/>
      <c r="AP49" s="0"/>
      <c r="AQ49" s="0"/>
      <c r="AR49" s="0"/>
    </row>
    <row r="50" customFormat="false" ht="12.75" hidden="false" customHeight="false" outlineLevel="0" collapsed="false">
      <c r="B50" s="108" t="e">
        <f aca="false">([1]!edate,B49,1)</f>
        <v>#VALUE!</v>
      </c>
      <c r="C50" s="109" t="e">
        <f aca="false">IF($C$11="Physical",B51+24,B51)</f>
        <v>#VALUE!</v>
      </c>
      <c r="D50" s="110" t="n">
        <v>0</v>
      </c>
      <c r="E50" s="111" t="e">
        <f aca="false">VLOOKUP($B50,Model!$A$8:$E$289,5)</f>
        <v>#VALUE!</v>
      </c>
      <c r="F50" s="111" t="e">
        <f aca="false">VLOOKUP($B50,Model!$A$8:$F$289,6)</f>
        <v>#VALUE!</v>
      </c>
      <c r="G50" s="127" t="e">
        <f aca="false">VLOOKUP($B50,Model!$A$8:$AO$289,41)</f>
        <v>#VALUE!</v>
      </c>
      <c r="I50" s="113" t="n">
        <v>0</v>
      </c>
      <c r="J50" s="114" t="e">
        <f aca="false">VLOOKUP($B50,Curve_Fetch,3)</f>
        <v>#VALUE!</v>
      </c>
      <c r="K50" s="121" t="n">
        <f aca="false">K49</f>
        <v>0</v>
      </c>
      <c r="L50" s="116" t="e">
        <f aca="false">IF(Control!$Y$26=Control!$X$27,J50,I50)+K50</f>
        <v>#VALUE!</v>
      </c>
      <c r="M50" s="113" t="n">
        <v>0</v>
      </c>
      <c r="N50" s="114" t="e">
        <f aca="false">VLOOKUP($B50,Curve_Fetch,VLOOKUP(Control!$AJ$10,Control!$AI$11:$AK$22,3))</f>
        <v>#VALUE!</v>
      </c>
      <c r="O50" s="121" t="n">
        <f aca="false">O49</f>
        <v>0</v>
      </c>
      <c r="P50" s="116" t="e">
        <f aca="false">IF(Control!$Y$31=Control!$X$32,N50,M50)+O50</f>
        <v>#VALUE!</v>
      </c>
      <c r="Q50" s="113" t="n">
        <v>0</v>
      </c>
      <c r="R50" s="114" t="e">
        <f aca="false">VLOOKUP($B50,Curve_Fetch,(VLOOKUP(Control!$AJ$10,Control!$AI$11:$AL$22,4)))</f>
        <v>#VALUE!</v>
      </c>
      <c r="S50" s="121" t="n">
        <f aca="false">S49</f>
        <v>0</v>
      </c>
      <c r="T50" s="116" t="e">
        <f aca="false">IF($C$11="Physical",IF(Control!$Y$37=Control!$X$38,R50,Q50)+S50,0)</f>
        <v>#VALUE!</v>
      </c>
      <c r="U50" s="117" t="e">
        <f aca="false">IF($C$11="Financial",L50+P50,L50+P50+T50)</f>
        <v>#VALUE!</v>
      </c>
      <c r="V50" s="114"/>
      <c r="W50" s="118" t="e">
        <f aca="false">VLOOKUP($B50,Model!$A$8:$S$289,19)</f>
        <v>#VALUE!</v>
      </c>
      <c r="X50" s="120" t="n">
        <f aca="false">X49</f>
        <v>0</v>
      </c>
      <c r="Y50" s="120" t="e">
        <f aca="false">W50+X50</f>
        <v>#VALUE!</v>
      </c>
      <c r="Z50" s="121" t="n">
        <f aca="false">Z49</f>
        <v>0</v>
      </c>
      <c r="AA50" s="121" t="e">
        <f aca="false">U50+Z50</f>
        <v>#VALUE!</v>
      </c>
      <c r="AB50" s="128" t="e">
        <f aca="false">EURO(U50,AA50,VLOOKUP($B50,Curve_Fetch,2),VLOOKUP($B50,Curve_Fetch,2),Y50,VLOOKUP($B50,Model!$A$8:$R$289,18),IF(Euro!$C$10="Call",1,0),0)</f>
        <v>#VALUE!</v>
      </c>
      <c r="AD50" s="123" t="e">
        <f aca="false">$G50*L50</f>
        <v>#VALUE!</v>
      </c>
      <c r="AE50" s="124" t="e">
        <f aca="false">$G50*P50</f>
        <v>#VALUE!</v>
      </c>
      <c r="AF50" s="124" t="e">
        <f aca="false">$G50*T50</f>
        <v>#VALUE!</v>
      </c>
      <c r="AG50" s="124" t="e">
        <f aca="false">$G50*U50</f>
        <v>#VALUE!</v>
      </c>
      <c r="AH50" s="124" t="e">
        <f aca="false">$G50*AA50</f>
        <v>#VALUE!</v>
      </c>
      <c r="AI50" s="125" t="e">
        <f aca="false">$F50*AB50</f>
        <v>#VALUE!</v>
      </c>
      <c r="AK50" s="0"/>
      <c r="AL50" s="0"/>
      <c r="AM50" s="0"/>
      <c r="AN50" s="0"/>
      <c r="AO50" s="0"/>
      <c r="AP50" s="0"/>
      <c r="AQ50" s="0"/>
      <c r="AR50" s="0"/>
    </row>
    <row r="51" customFormat="false" ht="12.75" hidden="false" customHeight="false" outlineLevel="0" collapsed="false">
      <c r="B51" s="108" t="e">
        <f aca="false">([1]!edate,B50,1)</f>
        <v>#VALUE!</v>
      </c>
      <c r="C51" s="109" t="e">
        <f aca="false">IF($C$11="Physical",B52+24,B52)</f>
        <v>#VALUE!</v>
      </c>
      <c r="D51" s="110" t="n">
        <v>0</v>
      </c>
      <c r="E51" s="111" t="e">
        <f aca="false">VLOOKUP($B51,Model!$A$8:$E$289,5)</f>
        <v>#VALUE!</v>
      </c>
      <c r="F51" s="111" t="e">
        <f aca="false">VLOOKUP($B51,Model!$A$8:$F$289,6)</f>
        <v>#VALUE!</v>
      </c>
      <c r="G51" s="127" t="e">
        <f aca="false">VLOOKUP($B51,Model!$A$8:$AO$289,41)</f>
        <v>#VALUE!</v>
      </c>
      <c r="I51" s="113" t="n">
        <v>0</v>
      </c>
      <c r="J51" s="114" t="e">
        <f aca="false">VLOOKUP($B51,Curve_Fetch,3)</f>
        <v>#VALUE!</v>
      </c>
      <c r="K51" s="121" t="n">
        <f aca="false">K50</f>
        <v>0</v>
      </c>
      <c r="L51" s="116" t="e">
        <f aca="false">IF(Control!$Y$26=Control!$X$27,J51,I51)+K51</f>
        <v>#VALUE!</v>
      </c>
      <c r="M51" s="113" t="n">
        <v>0</v>
      </c>
      <c r="N51" s="114" t="e">
        <f aca="false">VLOOKUP($B51,Curve_Fetch,VLOOKUP(Control!$AJ$10,Control!$AI$11:$AK$22,3))</f>
        <v>#VALUE!</v>
      </c>
      <c r="O51" s="121" t="n">
        <f aca="false">O50</f>
        <v>0</v>
      </c>
      <c r="P51" s="116" t="e">
        <f aca="false">IF(Control!$Y$31=Control!$X$32,N51,M51)+O51</f>
        <v>#VALUE!</v>
      </c>
      <c r="Q51" s="113" t="n">
        <v>0</v>
      </c>
      <c r="R51" s="114" t="e">
        <f aca="false">VLOOKUP($B51,Curve_Fetch,(VLOOKUP(Control!$AJ$10,Control!$AI$11:$AL$22,4)))</f>
        <v>#VALUE!</v>
      </c>
      <c r="S51" s="121" t="n">
        <f aca="false">S50</f>
        <v>0</v>
      </c>
      <c r="T51" s="116" t="e">
        <f aca="false">IF($C$11="Physical",IF(Control!$Y$37=Control!$X$38,R51,Q51)+S51,0)</f>
        <v>#VALUE!</v>
      </c>
      <c r="U51" s="117" t="e">
        <f aca="false">IF($C$11="Financial",L51+P51,L51+P51+T51)</f>
        <v>#VALUE!</v>
      </c>
      <c r="V51" s="114"/>
      <c r="W51" s="118" t="e">
        <f aca="false">VLOOKUP($B51,Model!$A$8:$S$289,19)</f>
        <v>#VALUE!</v>
      </c>
      <c r="X51" s="120" t="n">
        <f aca="false">X50</f>
        <v>0</v>
      </c>
      <c r="Y51" s="120" t="e">
        <f aca="false">W51+X51</f>
        <v>#VALUE!</v>
      </c>
      <c r="Z51" s="121" t="n">
        <f aca="false">Z50</f>
        <v>0</v>
      </c>
      <c r="AA51" s="121" t="e">
        <f aca="false">U51+Z51</f>
        <v>#VALUE!</v>
      </c>
      <c r="AB51" s="128" t="e">
        <f aca="false">EURO(U51,AA51,VLOOKUP($B51,Curve_Fetch,2),VLOOKUP($B51,Curve_Fetch,2),Y51,VLOOKUP($B51,Model!$A$8:$R$289,18),IF(Euro!$C$10="Call",1,0),0)</f>
        <v>#VALUE!</v>
      </c>
      <c r="AD51" s="123" t="e">
        <f aca="false">$G51*L51</f>
        <v>#VALUE!</v>
      </c>
      <c r="AE51" s="124" t="e">
        <f aca="false">$G51*P51</f>
        <v>#VALUE!</v>
      </c>
      <c r="AF51" s="124" t="e">
        <f aca="false">$G51*T51</f>
        <v>#VALUE!</v>
      </c>
      <c r="AG51" s="124" t="e">
        <f aca="false">$G51*U51</f>
        <v>#VALUE!</v>
      </c>
      <c r="AH51" s="124" t="e">
        <f aca="false">$G51*AA51</f>
        <v>#VALUE!</v>
      </c>
      <c r="AI51" s="125" t="e">
        <f aca="false">$F51*AB51</f>
        <v>#VALUE!</v>
      </c>
      <c r="AK51" s="0"/>
      <c r="AL51" s="0"/>
      <c r="AM51" s="0"/>
      <c r="AN51" s="0"/>
      <c r="AO51" s="0"/>
      <c r="AP51" s="0"/>
      <c r="AQ51" s="0"/>
      <c r="AR51" s="0"/>
    </row>
    <row r="52" customFormat="false" ht="12.75" hidden="false" customHeight="false" outlineLevel="0" collapsed="false">
      <c r="B52" s="108" t="e">
        <f aca="false">([1]!edate,B51,1)</f>
        <v>#VALUE!</v>
      </c>
      <c r="C52" s="109" t="e">
        <f aca="false">IF($C$11="Physical",B53+24,B53)</f>
        <v>#VALUE!</v>
      </c>
      <c r="D52" s="110" t="n">
        <v>0</v>
      </c>
      <c r="E52" s="111" t="e">
        <f aca="false">VLOOKUP($B52,Model!$A$8:$E$289,5)</f>
        <v>#VALUE!</v>
      </c>
      <c r="F52" s="111" t="e">
        <f aca="false">VLOOKUP($B52,Model!$A$8:$F$289,6)</f>
        <v>#VALUE!</v>
      </c>
      <c r="G52" s="127" t="e">
        <f aca="false">VLOOKUP($B52,Model!$A$8:$AO$289,41)</f>
        <v>#VALUE!</v>
      </c>
      <c r="I52" s="113" t="n">
        <v>0</v>
      </c>
      <c r="J52" s="114" t="e">
        <f aca="false">VLOOKUP($B52,Curve_Fetch,3)</f>
        <v>#VALUE!</v>
      </c>
      <c r="K52" s="121" t="n">
        <f aca="false">K51</f>
        <v>0</v>
      </c>
      <c r="L52" s="116" t="e">
        <f aca="false">IF(Control!$Y$26=Control!$X$27,J52,I52)+K52</f>
        <v>#VALUE!</v>
      </c>
      <c r="M52" s="113" t="n">
        <v>0</v>
      </c>
      <c r="N52" s="114" t="e">
        <f aca="false">VLOOKUP($B52,Curve_Fetch,VLOOKUP(Control!$AJ$10,Control!$AI$11:$AK$22,3))</f>
        <v>#VALUE!</v>
      </c>
      <c r="O52" s="121" t="n">
        <f aca="false">O51</f>
        <v>0</v>
      </c>
      <c r="P52" s="116" t="e">
        <f aca="false">IF(Control!$Y$31=Control!$X$32,N52,M52)+O52</f>
        <v>#VALUE!</v>
      </c>
      <c r="Q52" s="113" t="n">
        <v>0</v>
      </c>
      <c r="R52" s="114" t="e">
        <f aca="false">VLOOKUP($B52,Curve_Fetch,(VLOOKUP(Control!$AJ$10,Control!$AI$11:$AL$22,4)))</f>
        <v>#VALUE!</v>
      </c>
      <c r="S52" s="121" t="n">
        <f aca="false">S51</f>
        <v>0</v>
      </c>
      <c r="T52" s="116" t="e">
        <f aca="false">IF($C$11="Physical",IF(Control!$Y$37=Control!$X$38,R52,Q52)+S52,0)</f>
        <v>#VALUE!</v>
      </c>
      <c r="U52" s="117" t="e">
        <f aca="false">IF($C$11="Financial",L52+P52,L52+P52+T52)</f>
        <v>#VALUE!</v>
      </c>
      <c r="V52" s="114"/>
      <c r="W52" s="118" t="e">
        <f aca="false">VLOOKUP($B52,Model!$A$8:$S$289,19)</f>
        <v>#VALUE!</v>
      </c>
      <c r="X52" s="120" t="n">
        <f aca="false">X51</f>
        <v>0</v>
      </c>
      <c r="Y52" s="120" t="e">
        <f aca="false">W52+X52</f>
        <v>#VALUE!</v>
      </c>
      <c r="Z52" s="121" t="n">
        <f aca="false">Z51</f>
        <v>0</v>
      </c>
      <c r="AA52" s="121" t="e">
        <f aca="false">U52+Z52</f>
        <v>#VALUE!</v>
      </c>
      <c r="AB52" s="128" t="e">
        <f aca="false">EURO(U52,AA52,VLOOKUP($B52,Curve_Fetch,2),VLOOKUP($B52,Curve_Fetch,2),Y52,VLOOKUP($B52,Model!$A$8:$R$289,18),IF(Euro!$C$10="Call",1,0),0)</f>
        <v>#VALUE!</v>
      </c>
      <c r="AD52" s="123" t="e">
        <f aca="false">$G52*L52</f>
        <v>#VALUE!</v>
      </c>
      <c r="AE52" s="124" t="e">
        <f aca="false">$G52*P52</f>
        <v>#VALUE!</v>
      </c>
      <c r="AF52" s="124" t="e">
        <f aca="false">$G52*T52</f>
        <v>#VALUE!</v>
      </c>
      <c r="AG52" s="124" t="e">
        <f aca="false">$G52*U52</f>
        <v>#VALUE!</v>
      </c>
      <c r="AH52" s="124" t="e">
        <f aca="false">$G52*AA52</f>
        <v>#VALUE!</v>
      </c>
      <c r="AI52" s="125" t="e">
        <f aca="false">$F52*AB52</f>
        <v>#VALUE!</v>
      </c>
      <c r="AK52" s="0"/>
      <c r="AL52" s="0"/>
      <c r="AM52" s="0"/>
      <c r="AN52" s="0"/>
      <c r="AO52" s="0"/>
      <c r="AP52" s="0"/>
      <c r="AQ52" s="0"/>
      <c r="AR52" s="0"/>
    </row>
    <row r="53" customFormat="false" ht="12.75" hidden="false" customHeight="false" outlineLevel="0" collapsed="false">
      <c r="B53" s="108" t="e">
        <f aca="false">([1]!edate,B52,1)</f>
        <v>#VALUE!</v>
      </c>
      <c r="C53" s="109" t="e">
        <f aca="false">IF($C$11="Physical",B54+24,B54)</f>
        <v>#VALUE!</v>
      </c>
      <c r="D53" s="110" t="n">
        <v>0</v>
      </c>
      <c r="E53" s="111" t="e">
        <f aca="false">VLOOKUP($B53,Model!$A$8:$E$289,5)</f>
        <v>#VALUE!</v>
      </c>
      <c r="F53" s="111" t="e">
        <f aca="false">VLOOKUP($B53,Model!$A$8:$F$289,6)</f>
        <v>#VALUE!</v>
      </c>
      <c r="G53" s="127" t="e">
        <f aca="false">VLOOKUP($B53,Model!$A$8:$AO$289,41)</f>
        <v>#VALUE!</v>
      </c>
      <c r="I53" s="113" t="n">
        <v>0</v>
      </c>
      <c r="J53" s="114" t="e">
        <f aca="false">VLOOKUP($B53,Curve_Fetch,3)</f>
        <v>#VALUE!</v>
      </c>
      <c r="K53" s="121" t="n">
        <f aca="false">K52</f>
        <v>0</v>
      </c>
      <c r="L53" s="116" t="e">
        <f aca="false">IF(Control!$Y$26=Control!$X$27,J53,I53)+K53</f>
        <v>#VALUE!</v>
      </c>
      <c r="M53" s="113" t="n">
        <v>0</v>
      </c>
      <c r="N53" s="114" t="e">
        <f aca="false">VLOOKUP($B53,Curve_Fetch,VLOOKUP(Control!$AJ$10,Control!$AI$11:$AK$22,3))</f>
        <v>#VALUE!</v>
      </c>
      <c r="O53" s="121" t="n">
        <f aca="false">O52</f>
        <v>0</v>
      </c>
      <c r="P53" s="116" t="e">
        <f aca="false">IF(Control!$Y$31=Control!$X$32,N53,M53)+O53</f>
        <v>#VALUE!</v>
      </c>
      <c r="Q53" s="113" t="n">
        <v>0</v>
      </c>
      <c r="R53" s="114" t="e">
        <f aca="false">VLOOKUP($B53,Curve_Fetch,(VLOOKUP(Control!$AJ$10,Control!$AI$11:$AL$22,4)))</f>
        <v>#VALUE!</v>
      </c>
      <c r="S53" s="121" t="n">
        <f aca="false">S52</f>
        <v>0</v>
      </c>
      <c r="T53" s="116" t="e">
        <f aca="false">IF($C$11="Physical",IF(Control!$Y$37=Control!$X$38,R53,Q53)+S53,0)</f>
        <v>#VALUE!</v>
      </c>
      <c r="U53" s="117" t="e">
        <f aca="false">IF($C$11="Financial",L53+P53,L53+P53+T53)</f>
        <v>#VALUE!</v>
      </c>
      <c r="V53" s="114"/>
      <c r="W53" s="118" t="e">
        <f aca="false">VLOOKUP($B53,Model!$A$8:$S$289,19)</f>
        <v>#VALUE!</v>
      </c>
      <c r="X53" s="120" t="n">
        <f aca="false">X52</f>
        <v>0</v>
      </c>
      <c r="Y53" s="120" t="e">
        <f aca="false">W53+X53</f>
        <v>#VALUE!</v>
      </c>
      <c r="Z53" s="121" t="n">
        <f aca="false">Z52</f>
        <v>0</v>
      </c>
      <c r="AA53" s="121" t="e">
        <f aca="false">U53+Z53</f>
        <v>#VALUE!</v>
      </c>
      <c r="AB53" s="128" t="e">
        <f aca="false">EURO(U53,AA53,VLOOKUP($B53,Curve_Fetch,2),VLOOKUP($B53,Curve_Fetch,2),Y53,VLOOKUP($B53,Model!$A$8:$R$289,18),IF(Euro!$C$10="Call",1,0),0)</f>
        <v>#VALUE!</v>
      </c>
      <c r="AD53" s="123" t="e">
        <f aca="false">$G53*L53</f>
        <v>#VALUE!</v>
      </c>
      <c r="AE53" s="124" t="e">
        <f aca="false">$G53*P53</f>
        <v>#VALUE!</v>
      </c>
      <c r="AF53" s="124" t="e">
        <f aca="false">$G53*T53</f>
        <v>#VALUE!</v>
      </c>
      <c r="AG53" s="124" t="e">
        <f aca="false">$G53*U53</f>
        <v>#VALUE!</v>
      </c>
      <c r="AH53" s="124" t="e">
        <f aca="false">$G53*AA53</f>
        <v>#VALUE!</v>
      </c>
      <c r="AI53" s="125" t="e">
        <f aca="false">$F53*AB53</f>
        <v>#VALUE!</v>
      </c>
      <c r="AK53" s="0"/>
      <c r="AL53" s="0"/>
      <c r="AM53" s="0"/>
      <c r="AN53" s="0"/>
      <c r="AO53" s="0"/>
      <c r="AP53" s="0"/>
      <c r="AQ53" s="0"/>
      <c r="AR53" s="0"/>
    </row>
    <row r="54" customFormat="false" ht="12.75" hidden="false" customHeight="false" outlineLevel="0" collapsed="false">
      <c r="B54" s="108" t="e">
        <f aca="false">([1]!edate,B53,1)</f>
        <v>#VALUE!</v>
      </c>
      <c r="C54" s="109" t="e">
        <f aca="false">IF($C$11="Physical",B55+24,B55)</f>
        <v>#VALUE!</v>
      </c>
      <c r="D54" s="110" t="n">
        <v>0</v>
      </c>
      <c r="E54" s="111" t="e">
        <f aca="false">VLOOKUP($B54,Model!$A$8:$E$289,5)</f>
        <v>#VALUE!</v>
      </c>
      <c r="F54" s="111" t="e">
        <f aca="false">VLOOKUP($B54,Model!$A$8:$F$289,6)</f>
        <v>#VALUE!</v>
      </c>
      <c r="G54" s="127" t="e">
        <f aca="false">VLOOKUP($B54,Model!$A$8:$AO$289,41)</f>
        <v>#VALUE!</v>
      </c>
      <c r="I54" s="113" t="n">
        <v>0</v>
      </c>
      <c r="J54" s="114" t="e">
        <f aca="false">VLOOKUP($B54,Curve_Fetch,3)</f>
        <v>#VALUE!</v>
      </c>
      <c r="K54" s="121" t="n">
        <f aca="false">K53</f>
        <v>0</v>
      </c>
      <c r="L54" s="116" t="e">
        <f aca="false">IF(Control!$Y$26=Control!$X$27,J54,I54)+K54</f>
        <v>#VALUE!</v>
      </c>
      <c r="M54" s="113" t="n">
        <v>0</v>
      </c>
      <c r="N54" s="114" t="e">
        <f aca="false">VLOOKUP($B54,Curve_Fetch,VLOOKUP(Control!$AJ$10,Control!$AI$11:$AK$22,3))</f>
        <v>#VALUE!</v>
      </c>
      <c r="O54" s="121" t="n">
        <f aca="false">O53</f>
        <v>0</v>
      </c>
      <c r="P54" s="116" t="e">
        <f aca="false">IF(Control!$Y$31=Control!$X$32,N54,M54)+O54</f>
        <v>#VALUE!</v>
      </c>
      <c r="Q54" s="113" t="n">
        <v>0</v>
      </c>
      <c r="R54" s="114" t="e">
        <f aca="false">VLOOKUP($B54,Curve_Fetch,(VLOOKUP(Control!$AJ$10,Control!$AI$11:$AL$22,4)))</f>
        <v>#VALUE!</v>
      </c>
      <c r="S54" s="121" t="n">
        <f aca="false">S53</f>
        <v>0</v>
      </c>
      <c r="T54" s="116" t="e">
        <f aca="false">IF($C$11="Physical",IF(Control!$Y$37=Control!$X$38,R54,Q54)+S54,0)</f>
        <v>#VALUE!</v>
      </c>
      <c r="U54" s="117" t="e">
        <f aca="false">IF($C$11="Financial",L54+P54,L54+P54+T54)</f>
        <v>#VALUE!</v>
      </c>
      <c r="V54" s="114"/>
      <c r="W54" s="118" t="e">
        <f aca="false">VLOOKUP($B54,Model!$A$8:$S$289,19)</f>
        <v>#VALUE!</v>
      </c>
      <c r="X54" s="120" t="n">
        <f aca="false">X53</f>
        <v>0</v>
      </c>
      <c r="Y54" s="120" t="e">
        <f aca="false">W54+X54</f>
        <v>#VALUE!</v>
      </c>
      <c r="Z54" s="121" t="n">
        <f aca="false">Z53</f>
        <v>0</v>
      </c>
      <c r="AA54" s="121" t="e">
        <f aca="false">U54+Z54</f>
        <v>#VALUE!</v>
      </c>
      <c r="AB54" s="128" t="e">
        <f aca="false">EURO(U54,AA54,VLOOKUP($B54,Curve_Fetch,2),VLOOKUP($B54,Curve_Fetch,2),Y54,VLOOKUP($B54,Model!$A$8:$R$289,18),IF(Euro!$C$10="Call",1,0),0)</f>
        <v>#VALUE!</v>
      </c>
      <c r="AD54" s="123" t="e">
        <f aca="false">$G54*L54</f>
        <v>#VALUE!</v>
      </c>
      <c r="AE54" s="124" t="e">
        <f aca="false">$G54*P54</f>
        <v>#VALUE!</v>
      </c>
      <c r="AF54" s="124" t="e">
        <f aca="false">$G54*T54</f>
        <v>#VALUE!</v>
      </c>
      <c r="AG54" s="124" t="e">
        <f aca="false">$G54*U54</f>
        <v>#VALUE!</v>
      </c>
      <c r="AH54" s="124" t="e">
        <f aca="false">$G54*AA54</f>
        <v>#VALUE!</v>
      </c>
      <c r="AI54" s="125" t="e">
        <f aca="false">$F54*AB54</f>
        <v>#VALUE!</v>
      </c>
      <c r="AK54" s="0"/>
      <c r="AL54" s="0"/>
      <c r="AM54" s="0"/>
      <c r="AN54" s="0"/>
      <c r="AO54" s="0"/>
      <c r="AP54" s="0"/>
      <c r="AQ54" s="0"/>
      <c r="AR54" s="0"/>
    </row>
    <row r="55" customFormat="false" ht="12.75" hidden="false" customHeight="false" outlineLevel="0" collapsed="false">
      <c r="B55" s="108" t="e">
        <f aca="false">([1]!edate,B54,1)</f>
        <v>#VALUE!</v>
      </c>
      <c r="C55" s="109" t="e">
        <f aca="false">IF($C$11="Physical",B56+24,B56)</f>
        <v>#VALUE!</v>
      </c>
      <c r="D55" s="110" t="n">
        <v>0</v>
      </c>
      <c r="E55" s="111" t="e">
        <f aca="false">VLOOKUP($B55,Model!$A$8:$E$289,5)</f>
        <v>#VALUE!</v>
      </c>
      <c r="F55" s="111" t="e">
        <f aca="false">VLOOKUP($B55,Model!$A$8:$F$289,6)</f>
        <v>#VALUE!</v>
      </c>
      <c r="G55" s="127" t="e">
        <f aca="false">VLOOKUP($B55,Model!$A$8:$AO$289,41)</f>
        <v>#VALUE!</v>
      </c>
      <c r="I55" s="113" t="n">
        <v>0</v>
      </c>
      <c r="J55" s="114" t="e">
        <f aca="false">VLOOKUP($B55,Curve_Fetch,3)</f>
        <v>#VALUE!</v>
      </c>
      <c r="K55" s="121" t="n">
        <f aca="false">K54</f>
        <v>0</v>
      </c>
      <c r="L55" s="116" t="e">
        <f aca="false">IF(Control!$Y$26=Control!$X$27,J55,I55)+K55</f>
        <v>#VALUE!</v>
      </c>
      <c r="M55" s="113" t="n">
        <v>0</v>
      </c>
      <c r="N55" s="114" t="e">
        <f aca="false">VLOOKUP($B55,Curve_Fetch,VLOOKUP(Control!$AJ$10,Control!$AI$11:$AK$22,3))</f>
        <v>#VALUE!</v>
      </c>
      <c r="O55" s="121" t="n">
        <f aca="false">O54</f>
        <v>0</v>
      </c>
      <c r="P55" s="116" t="e">
        <f aca="false">IF(Control!$Y$31=Control!$X$32,N55,M55)+O55</f>
        <v>#VALUE!</v>
      </c>
      <c r="Q55" s="113" t="n">
        <v>0</v>
      </c>
      <c r="R55" s="114" t="e">
        <f aca="false">VLOOKUP($B55,Curve_Fetch,(VLOOKUP(Control!$AJ$10,Control!$AI$11:$AL$22,4)))</f>
        <v>#VALUE!</v>
      </c>
      <c r="S55" s="121" t="n">
        <f aca="false">S54</f>
        <v>0</v>
      </c>
      <c r="T55" s="116" t="e">
        <f aca="false">IF($C$11="Physical",IF(Control!$Y$37=Control!$X$38,R55,Q55)+S55,0)</f>
        <v>#VALUE!</v>
      </c>
      <c r="U55" s="117" t="e">
        <f aca="false">IF($C$11="Financial",L55+P55,L55+P55+T55)</f>
        <v>#VALUE!</v>
      </c>
      <c r="V55" s="114"/>
      <c r="W55" s="118" t="e">
        <f aca="false">VLOOKUP($B55,Model!$A$8:$S$289,19)</f>
        <v>#VALUE!</v>
      </c>
      <c r="X55" s="120" t="n">
        <f aca="false">X54</f>
        <v>0</v>
      </c>
      <c r="Y55" s="120" t="e">
        <f aca="false">W55+X55</f>
        <v>#VALUE!</v>
      </c>
      <c r="Z55" s="121" t="n">
        <f aca="false">Z54</f>
        <v>0</v>
      </c>
      <c r="AA55" s="121" t="e">
        <f aca="false">U55+Z55</f>
        <v>#VALUE!</v>
      </c>
      <c r="AB55" s="128" t="e">
        <f aca="false">EURO(U55,AA55,VLOOKUP($B55,Curve_Fetch,2),VLOOKUP($B55,Curve_Fetch,2),Y55,VLOOKUP($B55,Model!$A$8:$R$289,18),IF(Euro!$C$10="Call",1,0),0)</f>
        <v>#VALUE!</v>
      </c>
      <c r="AD55" s="123" t="e">
        <f aca="false">$G55*L55</f>
        <v>#VALUE!</v>
      </c>
      <c r="AE55" s="124" t="e">
        <f aca="false">$G55*P55</f>
        <v>#VALUE!</v>
      </c>
      <c r="AF55" s="124" t="e">
        <f aca="false">$G55*T55</f>
        <v>#VALUE!</v>
      </c>
      <c r="AG55" s="124" t="e">
        <f aca="false">$G55*U55</f>
        <v>#VALUE!</v>
      </c>
      <c r="AH55" s="124" t="e">
        <f aca="false">$G55*AA55</f>
        <v>#VALUE!</v>
      </c>
      <c r="AI55" s="125" t="e">
        <f aca="false">$F55*AB55</f>
        <v>#VALUE!</v>
      </c>
      <c r="AK55" s="0"/>
      <c r="AL55" s="0"/>
      <c r="AM55" s="0"/>
      <c r="AN55" s="0"/>
      <c r="AO55" s="0"/>
      <c r="AP55" s="0"/>
      <c r="AQ55" s="0"/>
      <c r="AR55" s="0"/>
    </row>
    <row r="56" customFormat="false" ht="12.75" hidden="false" customHeight="false" outlineLevel="0" collapsed="false">
      <c r="B56" s="108" t="e">
        <f aca="false">([1]!edate,B55,1)</f>
        <v>#VALUE!</v>
      </c>
      <c r="C56" s="109" t="e">
        <f aca="false">IF($C$11="Physical",B57+24,B57)</f>
        <v>#VALUE!</v>
      </c>
      <c r="D56" s="110" t="n">
        <v>0</v>
      </c>
      <c r="E56" s="111" t="e">
        <f aca="false">VLOOKUP($B56,Model!$A$8:$E$289,5)</f>
        <v>#VALUE!</v>
      </c>
      <c r="F56" s="111" t="e">
        <f aca="false">VLOOKUP($B56,Model!$A$8:$F$289,6)</f>
        <v>#VALUE!</v>
      </c>
      <c r="G56" s="127" t="e">
        <f aca="false">VLOOKUP($B56,Model!$A$8:$AO$289,41)</f>
        <v>#VALUE!</v>
      </c>
      <c r="I56" s="113" t="n">
        <v>0</v>
      </c>
      <c r="J56" s="114" t="e">
        <f aca="false">VLOOKUP($B56,Curve_Fetch,3)</f>
        <v>#VALUE!</v>
      </c>
      <c r="K56" s="121" t="n">
        <f aca="false">K55</f>
        <v>0</v>
      </c>
      <c r="L56" s="116" t="e">
        <f aca="false">IF(Control!$Y$26=Control!$X$27,J56,I56)+K56</f>
        <v>#VALUE!</v>
      </c>
      <c r="M56" s="113" t="n">
        <v>0</v>
      </c>
      <c r="N56" s="114" t="e">
        <f aca="false">VLOOKUP($B56,Curve_Fetch,VLOOKUP(Control!$AJ$10,Control!$AI$11:$AK$22,3))</f>
        <v>#VALUE!</v>
      </c>
      <c r="O56" s="121" t="n">
        <f aca="false">O55</f>
        <v>0</v>
      </c>
      <c r="P56" s="116" t="e">
        <f aca="false">IF(Control!$Y$31=Control!$X$32,N56,M56)+O56</f>
        <v>#VALUE!</v>
      </c>
      <c r="Q56" s="113" t="n">
        <v>0</v>
      </c>
      <c r="R56" s="114" t="e">
        <f aca="false">VLOOKUP($B56,Curve_Fetch,(VLOOKUP(Control!$AJ$10,Control!$AI$11:$AL$22,4)))</f>
        <v>#VALUE!</v>
      </c>
      <c r="S56" s="121" t="n">
        <f aca="false">S55</f>
        <v>0</v>
      </c>
      <c r="T56" s="116" t="e">
        <f aca="false">IF($C$11="Physical",IF(Control!$Y$37=Control!$X$38,R56,Q56)+S56,0)</f>
        <v>#VALUE!</v>
      </c>
      <c r="U56" s="117" t="e">
        <f aca="false">IF($C$11="Financial",L56+P56,L56+P56+T56)</f>
        <v>#VALUE!</v>
      </c>
      <c r="V56" s="114"/>
      <c r="W56" s="118" t="e">
        <f aca="false">VLOOKUP($B56,Model!$A$8:$S$289,19)</f>
        <v>#VALUE!</v>
      </c>
      <c r="X56" s="120" t="n">
        <f aca="false">X55</f>
        <v>0</v>
      </c>
      <c r="Y56" s="120" t="e">
        <f aca="false">W56+X56</f>
        <v>#VALUE!</v>
      </c>
      <c r="Z56" s="121" t="n">
        <f aca="false">Z55</f>
        <v>0</v>
      </c>
      <c r="AA56" s="121" t="e">
        <f aca="false">U56+Z56</f>
        <v>#VALUE!</v>
      </c>
      <c r="AB56" s="128" t="e">
        <f aca="false">EURO(U56,AA56,VLOOKUP($B56,Curve_Fetch,2),VLOOKUP($B56,Curve_Fetch,2),Y56,VLOOKUP($B56,Model!$A$8:$R$289,18),IF(Euro!$C$10="Call",1,0),0)</f>
        <v>#VALUE!</v>
      </c>
      <c r="AD56" s="123" t="e">
        <f aca="false">$G56*L56</f>
        <v>#VALUE!</v>
      </c>
      <c r="AE56" s="124" t="e">
        <f aca="false">$G56*P56</f>
        <v>#VALUE!</v>
      </c>
      <c r="AF56" s="124" t="e">
        <f aca="false">$G56*T56</f>
        <v>#VALUE!</v>
      </c>
      <c r="AG56" s="124" t="e">
        <f aca="false">$G56*U56</f>
        <v>#VALUE!</v>
      </c>
      <c r="AH56" s="124" t="e">
        <f aca="false">$G56*AA56</f>
        <v>#VALUE!</v>
      </c>
      <c r="AI56" s="125" t="e">
        <f aca="false">$F56*AB56</f>
        <v>#VALUE!</v>
      </c>
      <c r="AK56" s="0"/>
      <c r="AL56" s="0"/>
      <c r="AM56" s="0"/>
      <c r="AN56" s="0"/>
      <c r="AO56" s="0"/>
      <c r="AP56" s="0"/>
      <c r="AQ56" s="0"/>
      <c r="AR56" s="0"/>
    </row>
    <row r="57" customFormat="false" ht="12.75" hidden="false" customHeight="false" outlineLevel="0" collapsed="false">
      <c r="B57" s="108" t="e">
        <f aca="false">([1]!edate,B56,1)</f>
        <v>#VALUE!</v>
      </c>
      <c r="C57" s="109" t="e">
        <f aca="false">IF($C$11="Physical",B58+24,B58)</f>
        <v>#VALUE!</v>
      </c>
      <c r="D57" s="110" t="n">
        <v>0</v>
      </c>
      <c r="E57" s="111" t="e">
        <f aca="false">VLOOKUP($B57,Model!$A$8:$E$289,5)</f>
        <v>#VALUE!</v>
      </c>
      <c r="F57" s="111" t="e">
        <f aca="false">VLOOKUP($B57,Model!$A$8:$F$289,6)</f>
        <v>#VALUE!</v>
      </c>
      <c r="G57" s="127" t="e">
        <f aca="false">VLOOKUP($B57,Model!$A$8:$AO$289,41)</f>
        <v>#VALUE!</v>
      </c>
      <c r="I57" s="113" t="n">
        <v>0</v>
      </c>
      <c r="J57" s="114" t="e">
        <f aca="false">VLOOKUP($B57,Curve_Fetch,3)</f>
        <v>#VALUE!</v>
      </c>
      <c r="K57" s="121" t="n">
        <f aca="false">K56</f>
        <v>0</v>
      </c>
      <c r="L57" s="116" t="e">
        <f aca="false">IF(Control!$Y$26=Control!$X$27,J57,I57)+K57</f>
        <v>#VALUE!</v>
      </c>
      <c r="M57" s="113" t="n">
        <v>0</v>
      </c>
      <c r="N57" s="114" t="e">
        <f aca="false">VLOOKUP($B57,Curve_Fetch,VLOOKUP(Control!$AJ$10,Control!$AI$11:$AK$22,3))</f>
        <v>#VALUE!</v>
      </c>
      <c r="O57" s="121" t="n">
        <f aca="false">O56</f>
        <v>0</v>
      </c>
      <c r="P57" s="116" t="e">
        <f aca="false">IF(Control!$Y$31=Control!$X$32,N57,M57)+O57</f>
        <v>#VALUE!</v>
      </c>
      <c r="Q57" s="113" t="n">
        <v>0</v>
      </c>
      <c r="R57" s="114" t="e">
        <f aca="false">VLOOKUP($B57,Curve_Fetch,(VLOOKUP(Control!$AJ$10,Control!$AI$11:$AL$22,4)))</f>
        <v>#VALUE!</v>
      </c>
      <c r="S57" s="121" t="n">
        <f aca="false">S56</f>
        <v>0</v>
      </c>
      <c r="T57" s="116" t="e">
        <f aca="false">IF($C$11="Physical",IF(Control!$Y$37=Control!$X$38,R57,Q57)+S57,0)</f>
        <v>#VALUE!</v>
      </c>
      <c r="U57" s="117" t="e">
        <f aca="false">IF($C$11="Financial",L57+P57,L57+P57+T57)</f>
        <v>#VALUE!</v>
      </c>
      <c r="V57" s="114"/>
      <c r="W57" s="118" t="e">
        <f aca="false">VLOOKUP($B57,Model!$A$8:$S$289,19)</f>
        <v>#VALUE!</v>
      </c>
      <c r="X57" s="120" t="n">
        <f aca="false">X56</f>
        <v>0</v>
      </c>
      <c r="Y57" s="120" t="e">
        <f aca="false">W57+X57</f>
        <v>#VALUE!</v>
      </c>
      <c r="Z57" s="121" t="n">
        <f aca="false">Z56</f>
        <v>0</v>
      </c>
      <c r="AA57" s="121" t="e">
        <f aca="false">U57+Z57</f>
        <v>#VALUE!</v>
      </c>
      <c r="AB57" s="128" t="e">
        <f aca="false">EURO(U57,AA57,VLOOKUP($B57,Curve_Fetch,2),VLOOKUP($B57,Curve_Fetch,2),Y57,VLOOKUP($B57,Model!$A$8:$R$289,18),IF(Euro!$C$10="Call",1,0),0)</f>
        <v>#VALUE!</v>
      </c>
      <c r="AD57" s="123" t="e">
        <f aca="false">$G57*L57</f>
        <v>#VALUE!</v>
      </c>
      <c r="AE57" s="124" t="e">
        <f aca="false">$G57*P57</f>
        <v>#VALUE!</v>
      </c>
      <c r="AF57" s="124" t="e">
        <f aca="false">$G57*T57</f>
        <v>#VALUE!</v>
      </c>
      <c r="AG57" s="124" t="e">
        <f aca="false">$G57*U57</f>
        <v>#VALUE!</v>
      </c>
      <c r="AH57" s="124" t="e">
        <f aca="false">$G57*AA57</f>
        <v>#VALUE!</v>
      </c>
      <c r="AI57" s="125" t="e">
        <f aca="false">$F57*AB57</f>
        <v>#VALUE!</v>
      </c>
      <c r="AK57" s="0"/>
      <c r="AL57" s="0"/>
      <c r="AM57" s="0"/>
      <c r="AN57" s="0"/>
      <c r="AO57" s="0"/>
      <c r="AP57" s="0"/>
      <c r="AQ57" s="0"/>
      <c r="AR57" s="0"/>
    </row>
    <row r="58" customFormat="false" ht="12.75" hidden="false" customHeight="false" outlineLevel="0" collapsed="false">
      <c r="B58" s="108" t="e">
        <f aca="false">([1]!edate,B57,1)</f>
        <v>#VALUE!</v>
      </c>
      <c r="C58" s="109" t="e">
        <f aca="false">IF($C$11="Physical",B59+24,B59)</f>
        <v>#VALUE!</v>
      </c>
      <c r="D58" s="110" t="n">
        <v>0</v>
      </c>
      <c r="E58" s="111" t="e">
        <f aca="false">VLOOKUP($B58,Model!$A$8:$E$289,5)</f>
        <v>#VALUE!</v>
      </c>
      <c r="F58" s="111" t="e">
        <f aca="false">VLOOKUP($B58,Model!$A$8:$F$289,6)</f>
        <v>#VALUE!</v>
      </c>
      <c r="G58" s="127" t="e">
        <f aca="false">VLOOKUP($B58,Model!$A$8:$AO$289,41)</f>
        <v>#VALUE!</v>
      </c>
      <c r="I58" s="113" t="n">
        <v>0</v>
      </c>
      <c r="J58" s="114" t="e">
        <f aca="false">VLOOKUP($B58,Curve_Fetch,3)</f>
        <v>#VALUE!</v>
      </c>
      <c r="K58" s="121" t="n">
        <f aca="false">K57</f>
        <v>0</v>
      </c>
      <c r="L58" s="116" t="e">
        <f aca="false">IF(Control!$Y$26=Control!$X$27,J58,I58)+K58</f>
        <v>#VALUE!</v>
      </c>
      <c r="M58" s="113" t="n">
        <v>0</v>
      </c>
      <c r="N58" s="114" t="e">
        <f aca="false">VLOOKUP($B58,Curve_Fetch,VLOOKUP(Control!$AJ$10,Control!$AI$11:$AK$22,3))</f>
        <v>#VALUE!</v>
      </c>
      <c r="O58" s="121" t="n">
        <f aca="false">O57</f>
        <v>0</v>
      </c>
      <c r="P58" s="116" t="e">
        <f aca="false">IF(Control!$Y$31=Control!$X$32,N58,M58)+O58</f>
        <v>#VALUE!</v>
      </c>
      <c r="Q58" s="113" t="n">
        <v>0</v>
      </c>
      <c r="R58" s="114" t="e">
        <f aca="false">VLOOKUP($B58,Curve_Fetch,(VLOOKUP(Control!$AJ$10,Control!$AI$11:$AL$22,4)))</f>
        <v>#VALUE!</v>
      </c>
      <c r="S58" s="121" t="n">
        <f aca="false">S57</f>
        <v>0</v>
      </c>
      <c r="T58" s="116" t="e">
        <f aca="false">IF($C$11="Physical",IF(Control!$Y$37=Control!$X$38,R58,Q58)+S58,0)</f>
        <v>#VALUE!</v>
      </c>
      <c r="U58" s="117" t="e">
        <f aca="false">IF($C$11="Financial",L58+P58,L58+P58+T58)</f>
        <v>#VALUE!</v>
      </c>
      <c r="V58" s="114"/>
      <c r="W58" s="118" t="e">
        <f aca="false">VLOOKUP($B58,Model!$A$8:$S$289,19)</f>
        <v>#VALUE!</v>
      </c>
      <c r="X58" s="120" t="n">
        <f aca="false">X57</f>
        <v>0</v>
      </c>
      <c r="Y58" s="120" t="e">
        <f aca="false">W58+X58</f>
        <v>#VALUE!</v>
      </c>
      <c r="Z58" s="121" t="n">
        <f aca="false">Z57</f>
        <v>0</v>
      </c>
      <c r="AA58" s="121" t="e">
        <f aca="false">U58+Z58</f>
        <v>#VALUE!</v>
      </c>
      <c r="AB58" s="128" t="e">
        <f aca="false">EURO(U58,AA58,VLOOKUP($B58,Curve_Fetch,2),VLOOKUP($B58,Curve_Fetch,2),Y58,VLOOKUP($B58,Model!$A$8:$R$289,18),IF(Euro!$C$10="Call",1,0),0)</f>
        <v>#VALUE!</v>
      </c>
      <c r="AD58" s="123" t="e">
        <f aca="false">$G58*L58</f>
        <v>#VALUE!</v>
      </c>
      <c r="AE58" s="124" t="e">
        <f aca="false">$G58*P58</f>
        <v>#VALUE!</v>
      </c>
      <c r="AF58" s="124" t="e">
        <f aca="false">$G58*T58</f>
        <v>#VALUE!</v>
      </c>
      <c r="AG58" s="124" t="e">
        <f aca="false">$G58*U58</f>
        <v>#VALUE!</v>
      </c>
      <c r="AH58" s="124" t="e">
        <f aca="false">$G58*AA58</f>
        <v>#VALUE!</v>
      </c>
      <c r="AI58" s="125" t="e">
        <f aca="false">$F58*AB58</f>
        <v>#VALUE!</v>
      </c>
      <c r="AK58" s="0"/>
      <c r="AL58" s="0"/>
      <c r="AM58" s="0"/>
      <c r="AN58" s="0"/>
      <c r="AO58" s="0"/>
      <c r="AP58" s="0"/>
      <c r="AQ58" s="0"/>
      <c r="AR58" s="0"/>
    </row>
    <row r="59" customFormat="false" ht="12.75" hidden="false" customHeight="false" outlineLevel="0" collapsed="false">
      <c r="B59" s="108" t="e">
        <f aca="false">([1]!edate,B58,1)</f>
        <v>#VALUE!</v>
      </c>
      <c r="C59" s="109" t="e">
        <f aca="false">IF($C$11="Physical",B60+24,B60)</f>
        <v>#VALUE!</v>
      </c>
      <c r="D59" s="110" t="n">
        <v>0</v>
      </c>
      <c r="E59" s="111" t="e">
        <f aca="false">VLOOKUP($B59,Model!$A$8:$E$289,5)</f>
        <v>#VALUE!</v>
      </c>
      <c r="F59" s="111" t="e">
        <f aca="false">VLOOKUP($B59,Model!$A$8:$F$289,6)</f>
        <v>#VALUE!</v>
      </c>
      <c r="G59" s="127" t="e">
        <f aca="false">VLOOKUP($B59,Model!$A$8:$AO$289,41)</f>
        <v>#VALUE!</v>
      </c>
      <c r="I59" s="113" t="n">
        <v>0</v>
      </c>
      <c r="J59" s="114" t="e">
        <f aca="false">VLOOKUP($B59,Curve_Fetch,3)</f>
        <v>#VALUE!</v>
      </c>
      <c r="K59" s="121" t="n">
        <f aca="false">K58</f>
        <v>0</v>
      </c>
      <c r="L59" s="116" t="e">
        <f aca="false">IF(Control!$Y$26=Control!$X$27,J59,I59)+K59</f>
        <v>#VALUE!</v>
      </c>
      <c r="M59" s="113" t="n">
        <v>0</v>
      </c>
      <c r="N59" s="114" t="e">
        <f aca="false">VLOOKUP($B59,Curve_Fetch,VLOOKUP(Control!$AJ$10,Control!$AI$11:$AK$22,3))</f>
        <v>#VALUE!</v>
      </c>
      <c r="O59" s="121" t="n">
        <f aca="false">O58</f>
        <v>0</v>
      </c>
      <c r="P59" s="116" t="e">
        <f aca="false">IF(Control!$Y$31=Control!$X$32,N59,M59)+O59</f>
        <v>#VALUE!</v>
      </c>
      <c r="Q59" s="113" t="n">
        <v>0</v>
      </c>
      <c r="R59" s="114" t="e">
        <f aca="false">VLOOKUP($B59,Curve_Fetch,(VLOOKUP(Control!$AJ$10,Control!$AI$11:$AL$22,4)))</f>
        <v>#VALUE!</v>
      </c>
      <c r="S59" s="121" t="n">
        <f aca="false">S58</f>
        <v>0</v>
      </c>
      <c r="T59" s="116" t="e">
        <f aca="false">IF($C$11="Physical",IF(Control!$Y$37=Control!$X$38,R59,Q59)+S59,0)</f>
        <v>#VALUE!</v>
      </c>
      <c r="U59" s="117" t="e">
        <f aca="false">IF($C$11="Financial",L59+P59,L59+P59+T59)</f>
        <v>#VALUE!</v>
      </c>
      <c r="V59" s="114"/>
      <c r="W59" s="118" t="e">
        <f aca="false">VLOOKUP($B59,Model!$A$8:$S$289,19)</f>
        <v>#VALUE!</v>
      </c>
      <c r="X59" s="120" t="n">
        <f aca="false">X58</f>
        <v>0</v>
      </c>
      <c r="Y59" s="120" t="e">
        <f aca="false">W59+X59</f>
        <v>#VALUE!</v>
      </c>
      <c r="Z59" s="121" t="n">
        <f aca="false">Z58</f>
        <v>0</v>
      </c>
      <c r="AA59" s="121" t="e">
        <f aca="false">U59+Z59</f>
        <v>#VALUE!</v>
      </c>
      <c r="AB59" s="128" t="e">
        <f aca="false">EURO(U59,AA59,VLOOKUP($B59,Curve_Fetch,2),VLOOKUP($B59,Curve_Fetch,2),Y59,VLOOKUP($B59,Model!$A$8:$R$289,18),IF(Euro!$C$10="Call",1,0),0)</f>
        <v>#VALUE!</v>
      </c>
      <c r="AD59" s="123" t="e">
        <f aca="false">$G59*L59</f>
        <v>#VALUE!</v>
      </c>
      <c r="AE59" s="124" t="e">
        <f aca="false">$G59*P59</f>
        <v>#VALUE!</v>
      </c>
      <c r="AF59" s="124" t="e">
        <f aca="false">$G59*T59</f>
        <v>#VALUE!</v>
      </c>
      <c r="AG59" s="124" t="e">
        <f aca="false">$G59*U59</f>
        <v>#VALUE!</v>
      </c>
      <c r="AH59" s="124" t="e">
        <f aca="false">$G59*AA59</f>
        <v>#VALUE!</v>
      </c>
      <c r="AI59" s="125" t="e">
        <f aca="false">$F59*AB59</f>
        <v>#VALUE!</v>
      </c>
      <c r="AK59" s="0"/>
      <c r="AL59" s="0"/>
      <c r="AM59" s="0"/>
      <c r="AN59" s="0"/>
      <c r="AO59" s="0"/>
      <c r="AP59" s="0"/>
      <c r="AQ59" s="0"/>
      <c r="AR59" s="0"/>
    </row>
    <row r="60" customFormat="false" ht="12.75" hidden="false" customHeight="false" outlineLevel="0" collapsed="false">
      <c r="B60" s="108" t="e">
        <f aca="false">([1]!edate,B59,1)</f>
        <v>#VALUE!</v>
      </c>
      <c r="C60" s="109" t="e">
        <f aca="false">IF($C$11="Physical",B61+24,B61)</f>
        <v>#VALUE!</v>
      </c>
      <c r="D60" s="110" t="n">
        <v>0</v>
      </c>
      <c r="E60" s="111" t="e">
        <f aca="false">VLOOKUP($B60,Model!$A$8:$E$289,5)</f>
        <v>#VALUE!</v>
      </c>
      <c r="F60" s="111" t="e">
        <f aca="false">VLOOKUP($B60,Model!$A$8:$F$289,6)</f>
        <v>#VALUE!</v>
      </c>
      <c r="G60" s="127" t="e">
        <f aca="false">VLOOKUP($B60,Model!$A$8:$AO$289,41)</f>
        <v>#VALUE!</v>
      </c>
      <c r="I60" s="113" t="n">
        <v>0</v>
      </c>
      <c r="J60" s="114" t="e">
        <f aca="false">VLOOKUP($B60,Curve_Fetch,3)</f>
        <v>#VALUE!</v>
      </c>
      <c r="K60" s="121" t="n">
        <f aca="false">K59</f>
        <v>0</v>
      </c>
      <c r="L60" s="116" t="e">
        <f aca="false">IF(Control!$Y$26=Control!$X$27,J60,I60)+K60</f>
        <v>#VALUE!</v>
      </c>
      <c r="M60" s="113" t="n">
        <v>0</v>
      </c>
      <c r="N60" s="114" t="e">
        <f aca="false">VLOOKUP($B60,Curve_Fetch,VLOOKUP(Control!$AJ$10,Control!$AI$11:$AK$22,3))</f>
        <v>#VALUE!</v>
      </c>
      <c r="O60" s="121" t="n">
        <f aca="false">O59</f>
        <v>0</v>
      </c>
      <c r="P60" s="116" t="e">
        <f aca="false">IF(Control!$Y$31=Control!$X$32,N60,M60)+O60</f>
        <v>#VALUE!</v>
      </c>
      <c r="Q60" s="113" t="n">
        <v>0</v>
      </c>
      <c r="R60" s="114" t="e">
        <f aca="false">VLOOKUP($B60,Curve_Fetch,(VLOOKUP(Control!$AJ$10,Control!$AI$11:$AL$22,4)))</f>
        <v>#VALUE!</v>
      </c>
      <c r="S60" s="121" t="n">
        <f aca="false">S59</f>
        <v>0</v>
      </c>
      <c r="T60" s="116" t="e">
        <f aca="false">IF($C$11="Physical",IF(Control!$Y$37=Control!$X$38,R60,Q60)+S60,0)</f>
        <v>#VALUE!</v>
      </c>
      <c r="U60" s="117" t="e">
        <f aca="false">IF($C$11="Financial",L60+P60,L60+P60+T60)</f>
        <v>#VALUE!</v>
      </c>
      <c r="V60" s="114"/>
      <c r="W60" s="118" t="e">
        <f aca="false">VLOOKUP($B60,Model!$A$8:$S$289,19)</f>
        <v>#VALUE!</v>
      </c>
      <c r="X60" s="120" t="n">
        <f aca="false">X59</f>
        <v>0</v>
      </c>
      <c r="Y60" s="120" t="e">
        <f aca="false">W60+X60</f>
        <v>#VALUE!</v>
      </c>
      <c r="Z60" s="121" t="n">
        <f aca="false">Z59</f>
        <v>0</v>
      </c>
      <c r="AA60" s="121" t="e">
        <f aca="false">U60+Z60</f>
        <v>#VALUE!</v>
      </c>
      <c r="AB60" s="128" t="e">
        <f aca="false">EURO(U60,AA60,VLOOKUP($B60,Curve_Fetch,2),VLOOKUP($B60,Curve_Fetch,2),Y60,VLOOKUP($B60,Model!$A$8:$R$289,18),IF(Euro!$C$10="Call",1,0),0)</f>
        <v>#VALUE!</v>
      </c>
      <c r="AD60" s="123" t="e">
        <f aca="false">$G60*L60</f>
        <v>#VALUE!</v>
      </c>
      <c r="AE60" s="124" t="e">
        <f aca="false">$G60*P60</f>
        <v>#VALUE!</v>
      </c>
      <c r="AF60" s="124" t="e">
        <f aca="false">$G60*T60</f>
        <v>#VALUE!</v>
      </c>
      <c r="AG60" s="124" t="e">
        <f aca="false">$G60*U60</f>
        <v>#VALUE!</v>
      </c>
      <c r="AH60" s="124" t="e">
        <f aca="false">$G60*AA60</f>
        <v>#VALUE!</v>
      </c>
      <c r="AI60" s="125" t="e">
        <f aca="false">$F60*AB60</f>
        <v>#VALUE!</v>
      </c>
      <c r="AK60" s="0"/>
      <c r="AL60" s="0"/>
      <c r="AM60" s="0"/>
      <c r="AN60" s="0"/>
      <c r="AO60" s="0"/>
      <c r="AP60" s="0"/>
      <c r="AQ60" s="0"/>
      <c r="AR60" s="0"/>
    </row>
    <row r="61" customFormat="false" ht="12.75" hidden="false" customHeight="false" outlineLevel="0" collapsed="false">
      <c r="B61" s="108" t="e">
        <f aca="false">([1]!edate,B60,1)</f>
        <v>#VALUE!</v>
      </c>
      <c r="C61" s="109" t="e">
        <f aca="false">IF($C$11="Physical",B62+24,B62)</f>
        <v>#VALUE!</v>
      </c>
      <c r="D61" s="110" t="n">
        <v>0</v>
      </c>
      <c r="E61" s="111" t="e">
        <f aca="false">VLOOKUP($B61,Model!$A$8:$E$289,5)</f>
        <v>#VALUE!</v>
      </c>
      <c r="F61" s="111" t="e">
        <f aca="false">VLOOKUP($B61,Model!$A$8:$F$289,6)</f>
        <v>#VALUE!</v>
      </c>
      <c r="G61" s="127" t="e">
        <f aca="false">VLOOKUP($B61,Model!$A$8:$AO$289,41)</f>
        <v>#VALUE!</v>
      </c>
      <c r="I61" s="113" t="n">
        <v>0</v>
      </c>
      <c r="J61" s="114" t="e">
        <f aca="false">VLOOKUP($B61,Curve_Fetch,3)</f>
        <v>#VALUE!</v>
      </c>
      <c r="K61" s="121" t="n">
        <f aca="false">K60</f>
        <v>0</v>
      </c>
      <c r="L61" s="116" t="e">
        <f aca="false">IF(Control!$Y$26=Control!$X$27,J61,I61)+K61</f>
        <v>#VALUE!</v>
      </c>
      <c r="M61" s="113" t="n">
        <v>0</v>
      </c>
      <c r="N61" s="114" t="e">
        <f aca="false">VLOOKUP($B61,Curve_Fetch,VLOOKUP(Control!$AJ$10,Control!$AI$11:$AK$22,3))</f>
        <v>#VALUE!</v>
      </c>
      <c r="O61" s="121" t="n">
        <f aca="false">O60</f>
        <v>0</v>
      </c>
      <c r="P61" s="116" t="e">
        <f aca="false">IF(Control!$Y$31=Control!$X$32,N61,M61)+O61</f>
        <v>#VALUE!</v>
      </c>
      <c r="Q61" s="113" t="n">
        <v>0</v>
      </c>
      <c r="R61" s="114" t="e">
        <f aca="false">VLOOKUP($B61,Curve_Fetch,(VLOOKUP(Control!$AJ$10,Control!$AI$11:$AL$22,4)))</f>
        <v>#VALUE!</v>
      </c>
      <c r="S61" s="121" t="n">
        <f aca="false">S60</f>
        <v>0</v>
      </c>
      <c r="T61" s="116" t="e">
        <f aca="false">IF($C$11="Physical",IF(Control!$Y$37=Control!$X$38,R61,Q61)+S61,0)</f>
        <v>#VALUE!</v>
      </c>
      <c r="U61" s="117" t="e">
        <f aca="false">IF($C$11="Financial",L61+P61,L61+P61+T61)</f>
        <v>#VALUE!</v>
      </c>
      <c r="V61" s="114"/>
      <c r="W61" s="118" t="e">
        <f aca="false">VLOOKUP($B61,Model!$A$8:$S$289,19)</f>
        <v>#VALUE!</v>
      </c>
      <c r="X61" s="120" t="n">
        <f aca="false">X60</f>
        <v>0</v>
      </c>
      <c r="Y61" s="120" t="e">
        <f aca="false">W61+X61</f>
        <v>#VALUE!</v>
      </c>
      <c r="Z61" s="121" t="n">
        <f aca="false">Z60</f>
        <v>0</v>
      </c>
      <c r="AA61" s="121" t="e">
        <f aca="false">U61+Z61</f>
        <v>#VALUE!</v>
      </c>
      <c r="AB61" s="128" t="e">
        <f aca="false">EURO(U61,AA61,VLOOKUP($B61,Curve_Fetch,2),VLOOKUP($B61,Curve_Fetch,2),Y61,VLOOKUP($B61,Model!$A$8:$R$289,18),IF(Euro!$C$10="Call",1,0),0)</f>
        <v>#VALUE!</v>
      </c>
      <c r="AD61" s="123" t="e">
        <f aca="false">$G61*L61</f>
        <v>#VALUE!</v>
      </c>
      <c r="AE61" s="124" t="e">
        <f aca="false">$G61*P61</f>
        <v>#VALUE!</v>
      </c>
      <c r="AF61" s="124" t="e">
        <f aca="false">$G61*T61</f>
        <v>#VALUE!</v>
      </c>
      <c r="AG61" s="124" t="e">
        <f aca="false">$G61*U61</f>
        <v>#VALUE!</v>
      </c>
      <c r="AH61" s="124" t="e">
        <f aca="false">$G61*AA61</f>
        <v>#VALUE!</v>
      </c>
      <c r="AI61" s="125" t="e">
        <f aca="false">$F61*AB61</f>
        <v>#VALUE!</v>
      </c>
      <c r="AK61" s="0"/>
      <c r="AL61" s="0"/>
      <c r="AM61" s="0"/>
      <c r="AN61" s="0"/>
      <c r="AO61" s="0"/>
      <c r="AP61" s="0"/>
      <c r="AQ61" s="0"/>
      <c r="AR61" s="0"/>
    </row>
    <row r="62" customFormat="false" ht="12.75" hidden="false" customHeight="false" outlineLevel="0" collapsed="false">
      <c r="B62" s="108" t="e">
        <f aca="false">([1]!edate,B61,1)</f>
        <v>#VALUE!</v>
      </c>
      <c r="C62" s="109" t="e">
        <f aca="false">IF($C$11="Physical",B63+24,B63)</f>
        <v>#VALUE!</v>
      </c>
      <c r="D62" s="110" t="n">
        <v>0</v>
      </c>
      <c r="E62" s="111" t="e">
        <f aca="false">VLOOKUP($B62,Model!$A$8:$E$289,5)</f>
        <v>#VALUE!</v>
      </c>
      <c r="F62" s="111" t="e">
        <f aca="false">VLOOKUP($B62,Model!$A$8:$F$289,6)</f>
        <v>#VALUE!</v>
      </c>
      <c r="G62" s="127" t="e">
        <f aca="false">VLOOKUP($B62,Model!$A$8:$AO$289,41)</f>
        <v>#VALUE!</v>
      </c>
      <c r="I62" s="113" t="n">
        <v>0</v>
      </c>
      <c r="J62" s="114" t="e">
        <f aca="false">VLOOKUP($B62,Curve_Fetch,3)</f>
        <v>#VALUE!</v>
      </c>
      <c r="K62" s="121" t="n">
        <f aca="false">K61</f>
        <v>0</v>
      </c>
      <c r="L62" s="116" t="e">
        <f aca="false">IF(Control!$Y$26=Control!$X$27,J62,I62)+K62</f>
        <v>#VALUE!</v>
      </c>
      <c r="M62" s="113" t="n">
        <v>0</v>
      </c>
      <c r="N62" s="114" t="e">
        <f aca="false">VLOOKUP($B62,Curve_Fetch,VLOOKUP(Control!$AJ$10,Control!$AI$11:$AK$22,3))</f>
        <v>#VALUE!</v>
      </c>
      <c r="O62" s="121" t="n">
        <f aca="false">O61</f>
        <v>0</v>
      </c>
      <c r="P62" s="116" t="e">
        <f aca="false">IF(Control!$Y$31=Control!$X$32,N62,M62)+O62</f>
        <v>#VALUE!</v>
      </c>
      <c r="Q62" s="113" t="n">
        <v>0</v>
      </c>
      <c r="R62" s="114" t="e">
        <f aca="false">VLOOKUP($B62,Curve_Fetch,(VLOOKUP(Control!$AJ$10,Control!$AI$11:$AL$22,4)))</f>
        <v>#VALUE!</v>
      </c>
      <c r="S62" s="121" t="n">
        <f aca="false">S61</f>
        <v>0</v>
      </c>
      <c r="T62" s="116" t="e">
        <f aca="false">IF($C$11="Physical",IF(Control!$Y$37=Control!$X$38,R62,Q62)+S62,0)</f>
        <v>#VALUE!</v>
      </c>
      <c r="U62" s="117" t="e">
        <f aca="false">IF($C$11="Financial",L62+P62,L62+P62+T62)</f>
        <v>#VALUE!</v>
      </c>
      <c r="V62" s="114"/>
      <c r="W62" s="118" t="e">
        <f aca="false">VLOOKUP($B62,Model!$A$8:$S$289,19)</f>
        <v>#VALUE!</v>
      </c>
      <c r="X62" s="120" t="n">
        <f aca="false">X61</f>
        <v>0</v>
      </c>
      <c r="Y62" s="120" t="e">
        <f aca="false">W62+X62</f>
        <v>#VALUE!</v>
      </c>
      <c r="Z62" s="121" t="n">
        <f aca="false">Z61</f>
        <v>0</v>
      </c>
      <c r="AA62" s="121" t="e">
        <f aca="false">U62+Z62</f>
        <v>#VALUE!</v>
      </c>
      <c r="AB62" s="128" t="e">
        <f aca="false">EURO(U62,AA62,VLOOKUP($B62,Curve_Fetch,2),VLOOKUP($B62,Curve_Fetch,2),Y62,VLOOKUP($B62,Model!$A$8:$R$289,18),IF(Euro!$C$10="Call",1,0),0)</f>
        <v>#VALUE!</v>
      </c>
      <c r="AD62" s="123" t="e">
        <f aca="false">$G62*L62</f>
        <v>#VALUE!</v>
      </c>
      <c r="AE62" s="124" t="e">
        <f aca="false">$G62*P62</f>
        <v>#VALUE!</v>
      </c>
      <c r="AF62" s="124" t="e">
        <f aca="false">$G62*T62</f>
        <v>#VALUE!</v>
      </c>
      <c r="AG62" s="124" t="e">
        <f aca="false">$G62*U62</f>
        <v>#VALUE!</v>
      </c>
      <c r="AH62" s="124" t="e">
        <f aca="false">$G62*AA62</f>
        <v>#VALUE!</v>
      </c>
      <c r="AI62" s="125" t="e">
        <f aca="false">$F62*AB62</f>
        <v>#VALUE!</v>
      </c>
      <c r="AK62" s="0"/>
      <c r="AL62" s="0"/>
      <c r="AM62" s="0"/>
      <c r="AN62" s="0"/>
      <c r="AO62" s="0"/>
      <c r="AP62" s="0"/>
      <c r="AQ62" s="0"/>
      <c r="AR62" s="0"/>
    </row>
    <row r="63" customFormat="false" ht="12.75" hidden="false" customHeight="false" outlineLevel="0" collapsed="false">
      <c r="B63" s="108" t="e">
        <f aca="false">([1]!edate,B62,1)</f>
        <v>#VALUE!</v>
      </c>
      <c r="C63" s="109" t="e">
        <f aca="false">IF($C$11="Physical",B64+24,B64)</f>
        <v>#VALUE!</v>
      </c>
      <c r="D63" s="110" t="n">
        <v>0</v>
      </c>
      <c r="E63" s="111" t="e">
        <f aca="false">VLOOKUP($B63,Model!$A$8:$E$289,5)</f>
        <v>#VALUE!</v>
      </c>
      <c r="F63" s="111" t="e">
        <f aca="false">VLOOKUP($B63,Model!$A$8:$F$289,6)</f>
        <v>#VALUE!</v>
      </c>
      <c r="G63" s="127" t="e">
        <f aca="false">VLOOKUP($B63,Model!$A$8:$AO$289,41)</f>
        <v>#VALUE!</v>
      </c>
      <c r="I63" s="113" t="n">
        <v>0</v>
      </c>
      <c r="J63" s="114" t="e">
        <f aca="false">VLOOKUP($B63,Curve_Fetch,3)</f>
        <v>#VALUE!</v>
      </c>
      <c r="K63" s="121" t="n">
        <f aca="false">K62</f>
        <v>0</v>
      </c>
      <c r="L63" s="116" t="e">
        <f aca="false">IF(Control!$Y$26=Control!$X$27,J63,I63)+K63</f>
        <v>#VALUE!</v>
      </c>
      <c r="M63" s="113" t="n">
        <v>0</v>
      </c>
      <c r="N63" s="114" t="e">
        <f aca="false">VLOOKUP($B63,Curve_Fetch,VLOOKUP(Control!$AJ$10,Control!$AI$11:$AK$22,3))</f>
        <v>#VALUE!</v>
      </c>
      <c r="O63" s="121" t="n">
        <f aca="false">O62</f>
        <v>0</v>
      </c>
      <c r="P63" s="116" t="e">
        <f aca="false">IF(Control!$Y$31=Control!$X$32,N63,M63)+O63</f>
        <v>#VALUE!</v>
      </c>
      <c r="Q63" s="113" t="n">
        <v>0</v>
      </c>
      <c r="R63" s="114" t="e">
        <f aca="false">VLOOKUP($B63,Curve_Fetch,(VLOOKUP(Control!$AJ$10,Control!$AI$11:$AL$22,4)))</f>
        <v>#VALUE!</v>
      </c>
      <c r="S63" s="121" t="n">
        <f aca="false">S62</f>
        <v>0</v>
      </c>
      <c r="T63" s="116" t="e">
        <f aca="false">IF($C$11="Physical",IF(Control!$Y$37=Control!$X$38,R63,Q63)+S63,0)</f>
        <v>#VALUE!</v>
      </c>
      <c r="U63" s="117" t="e">
        <f aca="false">IF($C$11="Financial",L63+P63,L63+P63+T63)</f>
        <v>#VALUE!</v>
      </c>
      <c r="V63" s="114"/>
      <c r="W63" s="118" t="e">
        <f aca="false">VLOOKUP($B63,Model!$A$8:$S$289,19)</f>
        <v>#VALUE!</v>
      </c>
      <c r="X63" s="120" t="n">
        <f aca="false">X62</f>
        <v>0</v>
      </c>
      <c r="Y63" s="120" t="e">
        <f aca="false">W63+X63</f>
        <v>#VALUE!</v>
      </c>
      <c r="Z63" s="121" t="n">
        <f aca="false">Z62</f>
        <v>0</v>
      </c>
      <c r="AA63" s="121" t="e">
        <f aca="false">U63+Z63</f>
        <v>#VALUE!</v>
      </c>
      <c r="AB63" s="128" t="e">
        <f aca="false">EURO(U63,AA63,VLOOKUP($B63,Curve_Fetch,2),VLOOKUP($B63,Curve_Fetch,2),Y63,VLOOKUP($B63,Model!$A$8:$R$289,18),IF(Euro!$C$10="Call",1,0),0)</f>
        <v>#VALUE!</v>
      </c>
      <c r="AD63" s="123" t="e">
        <f aca="false">$G63*L63</f>
        <v>#VALUE!</v>
      </c>
      <c r="AE63" s="124" t="e">
        <f aca="false">$G63*P63</f>
        <v>#VALUE!</v>
      </c>
      <c r="AF63" s="124" t="e">
        <f aca="false">$G63*T63</f>
        <v>#VALUE!</v>
      </c>
      <c r="AG63" s="124" t="e">
        <f aca="false">$G63*U63</f>
        <v>#VALUE!</v>
      </c>
      <c r="AH63" s="124" t="e">
        <f aca="false">$G63*AA63</f>
        <v>#VALUE!</v>
      </c>
      <c r="AI63" s="125" t="e">
        <f aca="false">$F63*AB63</f>
        <v>#VALUE!</v>
      </c>
      <c r="AK63" s="0"/>
      <c r="AL63" s="0"/>
      <c r="AM63" s="0"/>
      <c r="AN63" s="0"/>
      <c r="AO63" s="0"/>
      <c r="AP63" s="0"/>
      <c r="AQ63" s="0"/>
      <c r="AR63" s="0"/>
    </row>
    <row r="64" customFormat="false" ht="12.75" hidden="false" customHeight="false" outlineLevel="0" collapsed="false">
      <c r="B64" s="108" t="e">
        <f aca="false">([1]!edate,B63,1)</f>
        <v>#VALUE!</v>
      </c>
      <c r="C64" s="109" t="e">
        <f aca="false">IF($C$11="Physical",B65+24,B65)</f>
        <v>#VALUE!</v>
      </c>
      <c r="D64" s="110" t="n">
        <v>0</v>
      </c>
      <c r="E64" s="111" t="e">
        <f aca="false">VLOOKUP($B64,Model!$A$8:$E$289,5)</f>
        <v>#VALUE!</v>
      </c>
      <c r="F64" s="111" t="e">
        <f aca="false">VLOOKUP($B64,Model!$A$8:$F$289,6)</f>
        <v>#VALUE!</v>
      </c>
      <c r="G64" s="127" t="e">
        <f aca="false">VLOOKUP($B64,Model!$A$8:$AO$289,41)</f>
        <v>#VALUE!</v>
      </c>
      <c r="I64" s="113" t="n">
        <v>0</v>
      </c>
      <c r="J64" s="114" t="e">
        <f aca="false">VLOOKUP($B64,Curve_Fetch,3)</f>
        <v>#VALUE!</v>
      </c>
      <c r="K64" s="121" t="n">
        <f aca="false">K63</f>
        <v>0</v>
      </c>
      <c r="L64" s="116" t="e">
        <f aca="false">IF(Control!$Y$26=Control!$X$27,J64,I64)+K64</f>
        <v>#VALUE!</v>
      </c>
      <c r="M64" s="113" t="n">
        <v>0</v>
      </c>
      <c r="N64" s="114" t="e">
        <f aca="false">VLOOKUP($B64,Curve_Fetch,VLOOKUP(Control!$AJ$10,Control!$AI$11:$AK$22,3))</f>
        <v>#VALUE!</v>
      </c>
      <c r="O64" s="121" t="n">
        <f aca="false">O63</f>
        <v>0</v>
      </c>
      <c r="P64" s="116" t="e">
        <f aca="false">IF(Control!$Y$31=Control!$X$32,N64,M64)+O64</f>
        <v>#VALUE!</v>
      </c>
      <c r="Q64" s="113" t="n">
        <v>0</v>
      </c>
      <c r="R64" s="114" t="e">
        <f aca="false">VLOOKUP($B64,Curve_Fetch,(VLOOKUP(Control!$AJ$10,Control!$AI$11:$AL$22,4)))</f>
        <v>#VALUE!</v>
      </c>
      <c r="S64" s="121" t="n">
        <f aca="false">S63</f>
        <v>0</v>
      </c>
      <c r="T64" s="116" t="e">
        <f aca="false">IF($C$11="Physical",IF(Control!$Y$37=Control!$X$38,R64,Q64)+S64,0)</f>
        <v>#VALUE!</v>
      </c>
      <c r="U64" s="117" t="e">
        <f aca="false">IF($C$11="Financial",L64+P64,L64+P64+T64)</f>
        <v>#VALUE!</v>
      </c>
      <c r="V64" s="114"/>
      <c r="W64" s="118" t="e">
        <f aca="false">VLOOKUP($B64,Model!$A$8:$S$289,19)</f>
        <v>#VALUE!</v>
      </c>
      <c r="X64" s="120" t="n">
        <f aca="false">X63</f>
        <v>0</v>
      </c>
      <c r="Y64" s="120" t="e">
        <f aca="false">W64+X64</f>
        <v>#VALUE!</v>
      </c>
      <c r="Z64" s="121" t="n">
        <f aca="false">Z63</f>
        <v>0</v>
      </c>
      <c r="AA64" s="121" t="e">
        <f aca="false">U64+Z64</f>
        <v>#VALUE!</v>
      </c>
      <c r="AB64" s="128" t="e">
        <f aca="false">EURO(U64,AA64,VLOOKUP($B64,Curve_Fetch,2),VLOOKUP($B64,Curve_Fetch,2),Y64,VLOOKUP($B64,Model!$A$8:$R$289,18),IF(Euro!$C$10="Call",1,0),0)</f>
        <v>#VALUE!</v>
      </c>
      <c r="AD64" s="123" t="e">
        <f aca="false">$G64*L64</f>
        <v>#VALUE!</v>
      </c>
      <c r="AE64" s="124" t="e">
        <f aca="false">$G64*P64</f>
        <v>#VALUE!</v>
      </c>
      <c r="AF64" s="124" t="e">
        <f aca="false">$G64*T64</f>
        <v>#VALUE!</v>
      </c>
      <c r="AG64" s="124" t="e">
        <f aca="false">$G64*U64</f>
        <v>#VALUE!</v>
      </c>
      <c r="AH64" s="124" t="e">
        <f aca="false">$G64*AA64</f>
        <v>#VALUE!</v>
      </c>
      <c r="AI64" s="125" t="e">
        <f aca="false">$F64*AB64</f>
        <v>#VALUE!</v>
      </c>
      <c r="AK64" s="0"/>
      <c r="AL64" s="0"/>
      <c r="AM64" s="0"/>
      <c r="AN64" s="0"/>
      <c r="AO64" s="0"/>
      <c r="AP64" s="0"/>
      <c r="AQ64" s="0"/>
      <c r="AR64" s="0"/>
    </row>
    <row r="65" customFormat="false" ht="12.75" hidden="false" customHeight="false" outlineLevel="0" collapsed="false">
      <c r="B65" s="108" t="e">
        <f aca="false">([1]!edate,B64,1)</f>
        <v>#VALUE!</v>
      </c>
      <c r="C65" s="109" t="e">
        <f aca="false">IF($C$11="Physical",B66+24,B66)</f>
        <v>#VALUE!</v>
      </c>
      <c r="D65" s="110" t="n">
        <v>0</v>
      </c>
      <c r="E65" s="111" t="e">
        <f aca="false">VLOOKUP($B65,Model!$A$8:$E$289,5)</f>
        <v>#VALUE!</v>
      </c>
      <c r="F65" s="111" t="e">
        <f aca="false">VLOOKUP($B65,Model!$A$8:$F$289,6)</f>
        <v>#VALUE!</v>
      </c>
      <c r="G65" s="127" t="e">
        <f aca="false">VLOOKUP($B65,Model!$A$8:$AO$289,41)</f>
        <v>#VALUE!</v>
      </c>
      <c r="I65" s="113" t="n">
        <v>0</v>
      </c>
      <c r="J65" s="114" t="e">
        <f aca="false">VLOOKUP($B65,Curve_Fetch,3)</f>
        <v>#VALUE!</v>
      </c>
      <c r="K65" s="121" t="n">
        <f aca="false">K64</f>
        <v>0</v>
      </c>
      <c r="L65" s="116" t="e">
        <f aca="false">IF(Control!$Y$26=Control!$X$27,J65,I65)+K65</f>
        <v>#VALUE!</v>
      </c>
      <c r="M65" s="113" t="n">
        <v>0</v>
      </c>
      <c r="N65" s="114" t="e">
        <f aca="false">VLOOKUP($B65,Curve_Fetch,VLOOKUP(Control!$AJ$10,Control!$AI$11:$AK$22,3))</f>
        <v>#VALUE!</v>
      </c>
      <c r="O65" s="121" t="n">
        <f aca="false">O64</f>
        <v>0</v>
      </c>
      <c r="P65" s="116" t="e">
        <f aca="false">IF(Control!$Y$31=Control!$X$32,N65,M65)+O65</f>
        <v>#VALUE!</v>
      </c>
      <c r="Q65" s="113" t="n">
        <v>0</v>
      </c>
      <c r="R65" s="114" t="e">
        <f aca="false">VLOOKUP($B65,Curve_Fetch,(VLOOKUP(Control!$AJ$10,Control!$AI$11:$AL$22,4)))</f>
        <v>#VALUE!</v>
      </c>
      <c r="S65" s="121" t="n">
        <f aca="false">S64</f>
        <v>0</v>
      </c>
      <c r="T65" s="116" t="e">
        <f aca="false">IF($C$11="Physical",IF(Control!$Y$37=Control!$X$38,R65,Q65)+S65,0)</f>
        <v>#VALUE!</v>
      </c>
      <c r="U65" s="117" t="e">
        <f aca="false">IF($C$11="Financial",L65+P65,L65+P65+T65)</f>
        <v>#VALUE!</v>
      </c>
      <c r="V65" s="114"/>
      <c r="W65" s="118" t="e">
        <f aca="false">VLOOKUP($B65,Model!$A$8:$S$289,19)</f>
        <v>#VALUE!</v>
      </c>
      <c r="X65" s="120" t="n">
        <f aca="false">X64</f>
        <v>0</v>
      </c>
      <c r="Y65" s="120" t="e">
        <f aca="false">W65+X65</f>
        <v>#VALUE!</v>
      </c>
      <c r="Z65" s="121" t="n">
        <f aca="false">Z64</f>
        <v>0</v>
      </c>
      <c r="AA65" s="121" t="e">
        <f aca="false">U65+Z65</f>
        <v>#VALUE!</v>
      </c>
      <c r="AB65" s="128" t="e">
        <f aca="false">EURO(U65,AA65,VLOOKUP($B65,Curve_Fetch,2),VLOOKUP($B65,Curve_Fetch,2),Y65,VLOOKUP($B65,Model!$A$8:$R$289,18),IF(Euro!$C$10="Call",1,0),0)</f>
        <v>#VALUE!</v>
      </c>
      <c r="AD65" s="123" t="e">
        <f aca="false">$G65*L65</f>
        <v>#VALUE!</v>
      </c>
      <c r="AE65" s="124" t="e">
        <f aca="false">$G65*P65</f>
        <v>#VALUE!</v>
      </c>
      <c r="AF65" s="124" t="e">
        <f aca="false">$G65*T65</f>
        <v>#VALUE!</v>
      </c>
      <c r="AG65" s="124" t="e">
        <f aca="false">$G65*U65</f>
        <v>#VALUE!</v>
      </c>
      <c r="AH65" s="124" t="e">
        <f aca="false">$G65*AA65</f>
        <v>#VALUE!</v>
      </c>
      <c r="AI65" s="125" t="e">
        <f aca="false">$F65*AB65</f>
        <v>#VALUE!</v>
      </c>
      <c r="AK65" s="0"/>
      <c r="AL65" s="0"/>
      <c r="AM65" s="0"/>
      <c r="AN65" s="0"/>
      <c r="AO65" s="0"/>
      <c r="AP65" s="0"/>
      <c r="AQ65" s="0"/>
      <c r="AR65" s="0"/>
    </row>
    <row r="66" customFormat="false" ht="12.75" hidden="false" customHeight="false" outlineLevel="0" collapsed="false">
      <c r="B66" s="108" t="e">
        <f aca="false">([1]!edate,B65,1)</f>
        <v>#VALUE!</v>
      </c>
      <c r="C66" s="109" t="e">
        <f aca="false">IF($C$11="Physical",B67+24,B67)</f>
        <v>#VALUE!</v>
      </c>
      <c r="D66" s="110" t="n">
        <v>0</v>
      </c>
      <c r="E66" s="111" t="e">
        <f aca="false">VLOOKUP($B66,Model!$A$8:$E$289,5)</f>
        <v>#VALUE!</v>
      </c>
      <c r="F66" s="111" t="e">
        <f aca="false">VLOOKUP($B66,Model!$A$8:$F$289,6)</f>
        <v>#VALUE!</v>
      </c>
      <c r="G66" s="127" t="e">
        <f aca="false">VLOOKUP($B66,Model!$A$8:$AO$289,41)</f>
        <v>#VALUE!</v>
      </c>
      <c r="I66" s="113" t="n">
        <v>0</v>
      </c>
      <c r="J66" s="114" t="e">
        <f aca="false">VLOOKUP($B66,Curve_Fetch,3)</f>
        <v>#VALUE!</v>
      </c>
      <c r="K66" s="121" t="n">
        <f aca="false">K65</f>
        <v>0</v>
      </c>
      <c r="L66" s="116" t="e">
        <f aca="false">IF(Control!$Y$26=Control!$X$27,J66,I66)+K66</f>
        <v>#VALUE!</v>
      </c>
      <c r="M66" s="113" t="n">
        <v>0</v>
      </c>
      <c r="N66" s="114" t="e">
        <f aca="false">VLOOKUP($B66,Curve_Fetch,VLOOKUP(Control!$AJ$10,Control!$AI$11:$AK$22,3))</f>
        <v>#VALUE!</v>
      </c>
      <c r="O66" s="121" t="n">
        <f aca="false">O65</f>
        <v>0</v>
      </c>
      <c r="P66" s="116" t="e">
        <f aca="false">IF(Control!$Y$31=Control!$X$32,N66,M66)+O66</f>
        <v>#VALUE!</v>
      </c>
      <c r="Q66" s="113" t="n">
        <v>0</v>
      </c>
      <c r="R66" s="114" t="e">
        <f aca="false">VLOOKUP($B66,Curve_Fetch,(VLOOKUP(Control!$AJ$10,Control!$AI$11:$AL$22,4)))</f>
        <v>#VALUE!</v>
      </c>
      <c r="S66" s="121" t="n">
        <f aca="false">S65</f>
        <v>0</v>
      </c>
      <c r="T66" s="116" t="e">
        <f aca="false">IF($C$11="Physical",IF(Control!$Y$37=Control!$X$38,R66,Q66)+S66,0)</f>
        <v>#VALUE!</v>
      </c>
      <c r="U66" s="117" t="e">
        <f aca="false">IF($C$11="Financial",L66+P66,L66+P66+T66)</f>
        <v>#VALUE!</v>
      </c>
      <c r="V66" s="114"/>
      <c r="W66" s="118" t="e">
        <f aca="false">VLOOKUP($B66,Model!$A$8:$S$289,19)</f>
        <v>#VALUE!</v>
      </c>
      <c r="X66" s="120" t="n">
        <f aca="false">X65</f>
        <v>0</v>
      </c>
      <c r="Y66" s="120" t="e">
        <f aca="false">W66+X66</f>
        <v>#VALUE!</v>
      </c>
      <c r="Z66" s="121" t="n">
        <f aca="false">Z65</f>
        <v>0</v>
      </c>
      <c r="AA66" s="121" t="e">
        <f aca="false">U66+Z66</f>
        <v>#VALUE!</v>
      </c>
      <c r="AB66" s="128" t="e">
        <f aca="false">EURO(U66,AA66,VLOOKUP($B66,Curve_Fetch,2),VLOOKUP($B66,Curve_Fetch,2),Y66,VLOOKUP($B66,Model!$A$8:$R$289,18),IF(Euro!$C$10="Call",1,0),0)</f>
        <v>#VALUE!</v>
      </c>
      <c r="AD66" s="123" t="e">
        <f aca="false">$G66*L66</f>
        <v>#VALUE!</v>
      </c>
      <c r="AE66" s="124" t="e">
        <f aca="false">$G66*P66</f>
        <v>#VALUE!</v>
      </c>
      <c r="AF66" s="124" t="e">
        <f aca="false">$G66*T66</f>
        <v>#VALUE!</v>
      </c>
      <c r="AG66" s="124" t="e">
        <f aca="false">$G66*U66</f>
        <v>#VALUE!</v>
      </c>
      <c r="AH66" s="124" t="e">
        <f aca="false">$G66*AA66</f>
        <v>#VALUE!</v>
      </c>
      <c r="AI66" s="125" t="e">
        <f aca="false">$F66*AB66</f>
        <v>#VALUE!</v>
      </c>
      <c r="AK66" s="0"/>
      <c r="AL66" s="0"/>
      <c r="AM66" s="0"/>
      <c r="AN66" s="0"/>
      <c r="AO66" s="0"/>
      <c r="AP66" s="0"/>
      <c r="AQ66" s="0"/>
      <c r="AR66" s="0"/>
    </row>
    <row r="67" customFormat="false" ht="12.75" hidden="false" customHeight="false" outlineLevel="0" collapsed="false">
      <c r="B67" s="108" t="e">
        <f aca="false">([1]!edate,B66,1)</f>
        <v>#VALUE!</v>
      </c>
      <c r="C67" s="109" t="e">
        <f aca="false">IF($C$11="Physical",B68+24,B68)</f>
        <v>#VALUE!</v>
      </c>
      <c r="D67" s="110" t="n">
        <v>0</v>
      </c>
      <c r="E67" s="111" t="e">
        <f aca="false">VLOOKUP($B67,Model!$A$8:$E$289,5)</f>
        <v>#VALUE!</v>
      </c>
      <c r="F67" s="111" t="e">
        <f aca="false">VLOOKUP($B67,Model!$A$8:$F$289,6)</f>
        <v>#VALUE!</v>
      </c>
      <c r="G67" s="127" t="e">
        <f aca="false">VLOOKUP($B67,Model!$A$8:$AO$289,41)</f>
        <v>#VALUE!</v>
      </c>
      <c r="I67" s="113" t="n">
        <v>0</v>
      </c>
      <c r="J67" s="114" t="e">
        <f aca="false">VLOOKUP($B67,Curve_Fetch,3)</f>
        <v>#VALUE!</v>
      </c>
      <c r="K67" s="121" t="n">
        <f aca="false">K66</f>
        <v>0</v>
      </c>
      <c r="L67" s="116" t="e">
        <f aca="false">IF(Control!$Y$26=Control!$X$27,J67,I67)+K67</f>
        <v>#VALUE!</v>
      </c>
      <c r="M67" s="113" t="n">
        <v>0</v>
      </c>
      <c r="N67" s="114" t="e">
        <f aca="false">VLOOKUP($B67,Curve_Fetch,VLOOKUP(Control!$AJ$10,Control!$AI$11:$AK$22,3))</f>
        <v>#VALUE!</v>
      </c>
      <c r="O67" s="121" t="n">
        <f aca="false">O66</f>
        <v>0</v>
      </c>
      <c r="P67" s="116" t="e">
        <f aca="false">IF(Control!$Y$31=Control!$X$32,N67,M67)+O67</f>
        <v>#VALUE!</v>
      </c>
      <c r="Q67" s="113" t="n">
        <v>0</v>
      </c>
      <c r="R67" s="114" t="e">
        <f aca="false">VLOOKUP($B67,Curve_Fetch,(VLOOKUP(Control!$AJ$10,Control!$AI$11:$AL$22,4)))</f>
        <v>#VALUE!</v>
      </c>
      <c r="S67" s="121" t="n">
        <f aca="false">S66</f>
        <v>0</v>
      </c>
      <c r="T67" s="116" t="e">
        <f aca="false">IF($C$11="Physical",IF(Control!$Y$37=Control!$X$38,R67,Q67)+S67,0)</f>
        <v>#VALUE!</v>
      </c>
      <c r="U67" s="117" t="e">
        <f aca="false">IF($C$11="Financial",L67+P67,L67+P67+T67)</f>
        <v>#VALUE!</v>
      </c>
      <c r="V67" s="114"/>
      <c r="W67" s="118" t="e">
        <f aca="false">VLOOKUP($B67,Model!$A$8:$S$289,19)</f>
        <v>#VALUE!</v>
      </c>
      <c r="X67" s="120" t="n">
        <f aca="false">X66</f>
        <v>0</v>
      </c>
      <c r="Y67" s="120" t="e">
        <f aca="false">W67+X67</f>
        <v>#VALUE!</v>
      </c>
      <c r="Z67" s="121" t="n">
        <f aca="false">Z66</f>
        <v>0</v>
      </c>
      <c r="AA67" s="121" t="e">
        <f aca="false">U67+Z67</f>
        <v>#VALUE!</v>
      </c>
      <c r="AB67" s="128" t="e">
        <f aca="false">EURO(U67,AA67,VLOOKUP($B67,Curve_Fetch,2),VLOOKUP($B67,Curve_Fetch,2),Y67,VLOOKUP($B67,Model!$A$8:$R$289,18),IF(Euro!$C$10="Call",1,0),0)</f>
        <v>#VALUE!</v>
      </c>
      <c r="AD67" s="123" t="e">
        <f aca="false">$G67*L67</f>
        <v>#VALUE!</v>
      </c>
      <c r="AE67" s="124" t="e">
        <f aca="false">$G67*P67</f>
        <v>#VALUE!</v>
      </c>
      <c r="AF67" s="124" t="e">
        <f aca="false">$G67*T67</f>
        <v>#VALUE!</v>
      </c>
      <c r="AG67" s="124" t="e">
        <f aca="false">$G67*U67</f>
        <v>#VALUE!</v>
      </c>
      <c r="AH67" s="124" t="e">
        <f aca="false">$G67*AA67</f>
        <v>#VALUE!</v>
      </c>
      <c r="AI67" s="125" t="e">
        <f aca="false">$F67*AB67</f>
        <v>#VALUE!</v>
      </c>
      <c r="AK67" s="0"/>
      <c r="AL67" s="0"/>
      <c r="AM67" s="0"/>
      <c r="AN67" s="0"/>
      <c r="AO67" s="0"/>
      <c r="AP67" s="0"/>
      <c r="AQ67" s="0"/>
      <c r="AR67" s="0"/>
    </row>
    <row r="68" customFormat="false" ht="12.75" hidden="false" customHeight="false" outlineLevel="0" collapsed="false">
      <c r="B68" s="108" t="e">
        <f aca="false">([1]!edate,B67,1)</f>
        <v>#VALUE!</v>
      </c>
      <c r="C68" s="109" t="e">
        <f aca="false">IF($C$11="Physical",B69+24,B69)</f>
        <v>#VALUE!</v>
      </c>
      <c r="D68" s="110" t="n">
        <v>0</v>
      </c>
      <c r="E68" s="111" t="e">
        <f aca="false">VLOOKUP($B68,Model!$A$8:$E$289,5)</f>
        <v>#VALUE!</v>
      </c>
      <c r="F68" s="111" t="e">
        <f aca="false">VLOOKUP($B68,Model!$A$8:$F$289,6)</f>
        <v>#VALUE!</v>
      </c>
      <c r="G68" s="127" t="e">
        <f aca="false">VLOOKUP($B68,Model!$A$8:$AO$289,41)</f>
        <v>#VALUE!</v>
      </c>
      <c r="I68" s="113" t="n">
        <v>0</v>
      </c>
      <c r="J68" s="114" t="e">
        <f aca="false">VLOOKUP($B68,Curve_Fetch,3)</f>
        <v>#VALUE!</v>
      </c>
      <c r="K68" s="121" t="n">
        <f aca="false">K67</f>
        <v>0</v>
      </c>
      <c r="L68" s="116" t="e">
        <f aca="false">IF(Control!$Y$26=Control!$X$27,J68,I68)+K68</f>
        <v>#VALUE!</v>
      </c>
      <c r="M68" s="113" t="n">
        <v>0</v>
      </c>
      <c r="N68" s="114" t="e">
        <f aca="false">VLOOKUP($B68,Curve_Fetch,VLOOKUP(Control!$AJ$10,Control!$AI$11:$AK$22,3))</f>
        <v>#VALUE!</v>
      </c>
      <c r="O68" s="121" t="n">
        <f aca="false">O67</f>
        <v>0</v>
      </c>
      <c r="P68" s="116" t="e">
        <f aca="false">IF(Control!$Y$31=Control!$X$32,N68,M68)+O68</f>
        <v>#VALUE!</v>
      </c>
      <c r="Q68" s="113" t="n">
        <v>0</v>
      </c>
      <c r="R68" s="114" t="e">
        <f aca="false">VLOOKUP($B68,Curve_Fetch,(VLOOKUP(Control!$AJ$10,Control!$AI$11:$AL$22,4)))</f>
        <v>#VALUE!</v>
      </c>
      <c r="S68" s="121" t="n">
        <f aca="false">S67</f>
        <v>0</v>
      </c>
      <c r="T68" s="116" t="e">
        <f aca="false">IF($C$11="Physical",IF(Control!$Y$37=Control!$X$38,R68,Q68)+S68,0)</f>
        <v>#VALUE!</v>
      </c>
      <c r="U68" s="117" t="e">
        <f aca="false">IF($C$11="Financial",L68+P68,L68+P68+T68)</f>
        <v>#VALUE!</v>
      </c>
      <c r="V68" s="114"/>
      <c r="W68" s="118" t="e">
        <f aca="false">VLOOKUP($B68,Model!$A$8:$S$289,19)</f>
        <v>#VALUE!</v>
      </c>
      <c r="X68" s="120" t="n">
        <f aca="false">X67</f>
        <v>0</v>
      </c>
      <c r="Y68" s="120" t="e">
        <f aca="false">W68+X68</f>
        <v>#VALUE!</v>
      </c>
      <c r="Z68" s="121" t="n">
        <f aca="false">Z67</f>
        <v>0</v>
      </c>
      <c r="AA68" s="121" t="e">
        <f aca="false">U68+Z68</f>
        <v>#VALUE!</v>
      </c>
      <c r="AB68" s="128" t="e">
        <f aca="false">EURO(U68,AA68,VLOOKUP($B68,Curve_Fetch,2),VLOOKUP($B68,Curve_Fetch,2),Y68,VLOOKUP($B68,Model!$A$8:$R$289,18),IF(Euro!$C$10="Call",1,0),0)</f>
        <v>#VALUE!</v>
      </c>
      <c r="AD68" s="123" t="e">
        <f aca="false">$G68*L68</f>
        <v>#VALUE!</v>
      </c>
      <c r="AE68" s="124" t="e">
        <f aca="false">$G68*P68</f>
        <v>#VALUE!</v>
      </c>
      <c r="AF68" s="124" t="e">
        <f aca="false">$G68*T68</f>
        <v>#VALUE!</v>
      </c>
      <c r="AG68" s="124" t="e">
        <f aca="false">$G68*U68</f>
        <v>#VALUE!</v>
      </c>
      <c r="AH68" s="124" t="e">
        <f aca="false">$G68*AA68</f>
        <v>#VALUE!</v>
      </c>
      <c r="AI68" s="125" t="e">
        <f aca="false">$F68*AB68</f>
        <v>#VALUE!</v>
      </c>
      <c r="AK68" s="0"/>
      <c r="AL68" s="0"/>
      <c r="AM68" s="0"/>
      <c r="AN68" s="0"/>
      <c r="AO68" s="0"/>
      <c r="AP68" s="0"/>
      <c r="AQ68" s="0"/>
      <c r="AR68" s="0"/>
    </row>
    <row r="69" customFormat="false" ht="12.75" hidden="false" customHeight="false" outlineLevel="0" collapsed="false">
      <c r="B69" s="108" t="e">
        <f aca="false">([1]!edate,B68,1)</f>
        <v>#VALUE!</v>
      </c>
      <c r="C69" s="109" t="e">
        <f aca="false">IF($C$11="Physical",B70+24,B70)</f>
        <v>#VALUE!</v>
      </c>
      <c r="D69" s="110" t="n">
        <v>0</v>
      </c>
      <c r="E69" s="111" t="e">
        <f aca="false">VLOOKUP($B69,Model!$A$8:$E$289,5)</f>
        <v>#VALUE!</v>
      </c>
      <c r="F69" s="111" t="e">
        <f aca="false">VLOOKUP($B69,Model!$A$8:$F$289,6)</f>
        <v>#VALUE!</v>
      </c>
      <c r="G69" s="127" t="e">
        <f aca="false">VLOOKUP($B69,Model!$A$8:$AO$289,41)</f>
        <v>#VALUE!</v>
      </c>
      <c r="I69" s="113" t="n">
        <v>0</v>
      </c>
      <c r="J69" s="114" t="e">
        <f aca="false">VLOOKUP($B69,Curve_Fetch,3)</f>
        <v>#VALUE!</v>
      </c>
      <c r="K69" s="121" t="n">
        <f aca="false">K68</f>
        <v>0</v>
      </c>
      <c r="L69" s="116" t="e">
        <f aca="false">IF(Control!$Y$26=Control!$X$27,J69,I69)+K69</f>
        <v>#VALUE!</v>
      </c>
      <c r="M69" s="113" t="n">
        <v>0</v>
      </c>
      <c r="N69" s="114" t="e">
        <f aca="false">VLOOKUP($B69,Curve_Fetch,VLOOKUP(Control!$AJ$10,Control!$AI$11:$AK$22,3))</f>
        <v>#VALUE!</v>
      </c>
      <c r="O69" s="121" t="n">
        <f aca="false">O68</f>
        <v>0</v>
      </c>
      <c r="P69" s="116" t="e">
        <f aca="false">IF(Control!$Y$31=Control!$X$32,N69,M69)+O69</f>
        <v>#VALUE!</v>
      </c>
      <c r="Q69" s="113" t="n">
        <v>0</v>
      </c>
      <c r="R69" s="114" t="e">
        <f aca="false">VLOOKUP($B69,Curve_Fetch,(VLOOKUP(Control!$AJ$10,Control!$AI$11:$AL$22,4)))</f>
        <v>#VALUE!</v>
      </c>
      <c r="S69" s="121" t="n">
        <f aca="false">S68</f>
        <v>0</v>
      </c>
      <c r="T69" s="116" t="e">
        <f aca="false">IF($C$11="Physical",IF(Control!$Y$37=Control!$X$38,R69,Q69)+S69,0)</f>
        <v>#VALUE!</v>
      </c>
      <c r="U69" s="117" t="e">
        <f aca="false">IF($C$11="Financial",L69+P69,L69+P69+T69)</f>
        <v>#VALUE!</v>
      </c>
      <c r="V69" s="114"/>
      <c r="W69" s="118" t="e">
        <f aca="false">VLOOKUP($B69,Model!$A$8:$S$289,19)</f>
        <v>#VALUE!</v>
      </c>
      <c r="X69" s="120" t="n">
        <f aca="false">X68</f>
        <v>0</v>
      </c>
      <c r="Y69" s="120" t="e">
        <f aca="false">W69+X69</f>
        <v>#VALUE!</v>
      </c>
      <c r="Z69" s="121" t="n">
        <f aca="false">Z68</f>
        <v>0</v>
      </c>
      <c r="AA69" s="121" t="e">
        <f aca="false">U69+Z69</f>
        <v>#VALUE!</v>
      </c>
      <c r="AB69" s="128" t="e">
        <f aca="false">EURO(U69,AA69,VLOOKUP($B69,Curve_Fetch,2),VLOOKUP($B69,Curve_Fetch,2),Y69,VLOOKUP($B69,Model!$A$8:$R$289,18),IF(Euro!$C$10="Call",1,0),0)</f>
        <v>#VALUE!</v>
      </c>
      <c r="AD69" s="123" t="e">
        <f aca="false">$G69*L69</f>
        <v>#VALUE!</v>
      </c>
      <c r="AE69" s="124" t="e">
        <f aca="false">$G69*P69</f>
        <v>#VALUE!</v>
      </c>
      <c r="AF69" s="124" t="e">
        <f aca="false">$G69*T69</f>
        <v>#VALUE!</v>
      </c>
      <c r="AG69" s="124" t="e">
        <f aca="false">$G69*U69</f>
        <v>#VALUE!</v>
      </c>
      <c r="AH69" s="124" t="e">
        <f aca="false">$G69*AA69</f>
        <v>#VALUE!</v>
      </c>
      <c r="AI69" s="125" t="e">
        <f aca="false">$F69*AB69</f>
        <v>#VALUE!</v>
      </c>
      <c r="AK69" s="0"/>
      <c r="AL69" s="0"/>
      <c r="AM69" s="0"/>
      <c r="AN69" s="0"/>
      <c r="AO69" s="0"/>
      <c r="AP69" s="0"/>
      <c r="AQ69" s="0"/>
      <c r="AR69" s="0"/>
    </row>
    <row r="70" customFormat="false" ht="12.75" hidden="false" customHeight="false" outlineLevel="0" collapsed="false">
      <c r="B70" s="108" t="e">
        <f aca="false">([1]!edate,B69,1)</f>
        <v>#VALUE!</v>
      </c>
      <c r="C70" s="109" t="e">
        <f aca="false">IF($C$11="Physical",B71+24,B71)</f>
        <v>#VALUE!</v>
      </c>
      <c r="D70" s="110" t="n">
        <v>0</v>
      </c>
      <c r="E70" s="111" t="e">
        <f aca="false">VLOOKUP($B70,Model!$A$8:$E$289,5)</f>
        <v>#VALUE!</v>
      </c>
      <c r="F70" s="111" t="e">
        <f aca="false">VLOOKUP($B70,Model!$A$8:$F$289,6)</f>
        <v>#VALUE!</v>
      </c>
      <c r="G70" s="127" t="e">
        <f aca="false">VLOOKUP($B70,Model!$A$8:$AO$289,41)</f>
        <v>#VALUE!</v>
      </c>
      <c r="I70" s="113" t="n">
        <v>0</v>
      </c>
      <c r="J70" s="114" t="e">
        <f aca="false">VLOOKUP($B70,Curve_Fetch,3)</f>
        <v>#VALUE!</v>
      </c>
      <c r="K70" s="121" t="n">
        <f aca="false">K69</f>
        <v>0</v>
      </c>
      <c r="L70" s="116" t="e">
        <f aca="false">IF(Control!$Y$26=Control!$X$27,J70,I70)+K70</f>
        <v>#VALUE!</v>
      </c>
      <c r="M70" s="113" t="n">
        <v>0</v>
      </c>
      <c r="N70" s="114" t="e">
        <f aca="false">VLOOKUP($B70,Curve_Fetch,VLOOKUP(Control!$AJ$10,Control!$AI$11:$AK$22,3))</f>
        <v>#VALUE!</v>
      </c>
      <c r="O70" s="121" t="n">
        <f aca="false">O69</f>
        <v>0</v>
      </c>
      <c r="P70" s="116" t="e">
        <f aca="false">IF(Control!$Y$31=Control!$X$32,N70,M70)+O70</f>
        <v>#VALUE!</v>
      </c>
      <c r="Q70" s="113" t="n">
        <v>0</v>
      </c>
      <c r="R70" s="114" t="e">
        <f aca="false">VLOOKUP($B70,Curve_Fetch,(VLOOKUP(Control!$AJ$10,Control!$AI$11:$AL$22,4)))</f>
        <v>#VALUE!</v>
      </c>
      <c r="S70" s="121" t="n">
        <f aca="false">S69</f>
        <v>0</v>
      </c>
      <c r="T70" s="116" t="e">
        <f aca="false">IF($C$11="Physical",IF(Control!$Y$37=Control!$X$38,R70,Q70)+S70,0)</f>
        <v>#VALUE!</v>
      </c>
      <c r="U70" s="117" t="e">
        <f aca="false">IF($C$11="Financial",L70+P70,L70+P70+T70)</f>
        <v>#VALUE!</v>
      </c>
      <c r="V70" s="114"/>
      <c r="W70" s="118" t="e">
        <f aca="false">VLOOKUP($B70,Model!$A$8:$S$289,19)</f>
        <v>#VALUE!</v>
      </c>
      <c r="X70" s="120" t="n">
        <f aca="false">X69</f>
        <v>0</v>
      </c>
      <c r="Y70" s="120" t="e">
        <f aca="false">W70+X70</f>
        <v>#VALUE!</v>
      </c>
      <c r="Z70" s="121" t="n">
        <f aca="false">Z69</f>
        <v>0</v>
      </c>
      <c r="AA70" s="121" t="e">
        <f aca="false">U70+Z70</f>
        <v>#VALUE!</v>
      </c>
      <c r="AB70" s="128" t="e">
        <f aca="false">EURO(U70,AA70,VLOOKUP($B70,Curve_Fetch,2),VLOOKUP($B70,Curve_Fetch,2),Y70,VLOOKUP($B70,Model!$A$8:$R$289,18),IF(Euro!$C$10="Call",1,0),0)</f>
        <v>#VALUE!</v>
      </c>
      <c r="AD70" s="123" t="e">
        <f aca="false">$G70*L70</f>
        <v>#VALUE!</v>
      </c>
      <c r="AE70" s="124" t="e">
        <f aca="false">$G70*P70</f>
        <v>#VALUE!</v>
      </c>
      <c r="AF70" s="124" t="e">
        <f aca="false">$G70*T70</f>
        <v>#VALUE!</v>
      </c>
      <c r="AG70" s="124" t="e">
        <f aca="false">$G70*U70</f>
        <v>#VALUE!</v>
      </c>
      <c r="AH70" s="124" t="e">
        <f aca="false">$G70*AA70</f>
        <v>#VALUE!</v>
      </c>
      <c r="AI70" s="125" t="e">
        <f aca="false">$F70*AB70</f>
        <v>#VALUE!</v>
      </c>
      <c r="AK70" s="0"/>
      <c r="AL70" s="0"/>
      <c r="AM70" s="0"/>
      <c r="AN70" s="0"/>
      <c r="AO70" s="0"/>
      <c r="AP70" s="0"/>
      <c r="AQ70" s="0"/>
      <c r="AR70" s="0"/>
    </row>
    <row r="71" customFormat="false" ht="12.75" hidden="false" customHeight="false" outlineLevel="0" collapsed="false">
      <c r="B71" s="108" t="e">
        <f aca="false">([1]!edate,B70,1)</f>
        <v>#VALUE!</v>
      </c>
      <c r="C71" s="109" t="e">
        <f aca="false">IF($C$11="Physical",B72+24,B72)</f>
        <v>#VALUE!</v>
      </c>
      <c r="D71" s="110" t="n">
        <v>0</v>
      </c>
      <c r="E71" s="111" t="e">
        <f aca="false">VLOOKUP($B71,Model!$A$8:$E$289,5)</f>
        <v>#VALUE!</v>
      </c>
      <c r="F71" s="111" t="e">
        <f aca="false">VLOOKUP($B71,Model!$A$8:$F$289,6)</f>
        <v>#VALUE!</v>
      </c>
      <c r="G71" s="127" t="e">
        <f aca="false">VLOOKUP($B71,Model!$A$8:$AO$289,41)</f>
        <v>#VALUE!</v>
      </c>
      <c r="I71" s="113" t="n">
        <v>0</v>
      </c>
      <c r="J71" s="114" t="e">
        <f aca="false">VLOOKUP($B71,Curve_Fetch,3)</f>
        <v>#VALUE!</v>
      </c>
      <c r="K71" s="121" t="n">
        <f aca="false">K70</f>
        <v>0</v>
      </c>
      <c r="L71" s="116" t="e">
        <f aca="false">IF(Control!$Y$26=Control!$X$27,J71,I71)+K71</f>
        <v>#VALUE!</v>
      </c>
      <c r="M71" s="113" t="n">
        <v>0</v>
      </c>
      <c r="N71" s="114" t="e">
        <f aca="false">VLOOKUP($B71,Curve_Fetch,VLOOKUP(Control!$AJ$10,Control!$AI$11:$AK$22,3))</f>
        <v>#VALUE!</v>
      </c>
      <c r="O71" s="121" t="n">
        <f aca="false">O70</f>
        <v>0</v>
      </c>
      <c r="P71" s="116" t="e">
        <f aca="false">IF(Control!$Y$31=Control!$X$32,N71,M71)+O71</f>
        <v>#VALUE!</v>
      </c>
      <c r="Q71" s="113" t="n">
        <v>0</v>
      </c>
      <c r="R71" s="114" t="e">
        <f aca="false">VLOOKUP($B71,Curve_Fetch,(VLOOKUP(Control!$AJ$10,Control!$AI$11:$AL$22,4)))</f>
        <v>#VALUE!</v>
      </c>
      <c r="S71" s="121" t="n">
        <f aca="false">S70</f>
        <v>0</v>
      </c>
      <c r="T71" s="116" t="e">
        <f aca="false">IF($C$11="Physical",IF(Control!$Y$37=Control!$X$38,R71,Q71)+S71,0)</f>
        <v>#VALUE!</v>
      </c>
      <c r="U71" s="117" t="e">
        <f aca="false">IF($C$11="Financial",L71+P71,L71+P71+T71)</f>
        <v>#VALUE!</v>
      </c>
      <c r="V71" s="114"/>
      <c r="W71" s="118" t="e">
        <f aca="false">VLOOKUP($B71,Model!$A$8:$S$289,19)</f>
        <v>#VALUE!</v>
      </c>
      <c r="X71" s="120" t="n">
        <f aca="false">X70</f>
        <v>0</v>
      </c>
      <c r="Y71" s="120" t="e">
        <f aca="false">W71+X71</f>
        <v>#VALUE!</v>
      </c>
      <c r="Z71" s="121" t="n">
        <f aca="false">Z70</f>
        <v>0</v>
      </c>
      <c r="AA71" s="121" t="e">
        <f aca="false">U71+Z71</f>
        <v>#VALUE!</v>
      </c>
      <c r="AB71" s="128" t="e">
        <f aca="false">EURO(U71,AA71,VLOOKUP($B71,Curve_Fetch,2),VLOOKUP($B71,Curve_Fetch,2),Y71,VLOOKUP($B71,Model!$A$8:$R$289,18),IF(Euro!$C$10="Call",1,0),0)</f>
        <v>#VALUE!</v>
      </c>
      <c r="AD71" s="123" t="e">
        <f aca="false">$G71*L71</f>
        <v>#VALUE!</v>
      </c>
      <c r="AE71" s="124" t="e">
        <f aca="false">$G71*P71</f>
        <v>#VALUE!</v>
      </c>
      <c r="AF71" s="124" t="e">
        <f aca="false">$G71*T71</f>
        <v>#VALUE!</v>
      </c>
      <c r="AG71" s="124" t="e">
        <f aca="false">$G71*U71</f>
        <v>#VALUE!</v>
      </c>
      <c r="AH71" s="124" t="e">
        <f aca="false">$G71*AA71</f>
        <v>#VALUE!</v>
      </c>
      <c r="AI71" s="125" t="e">
        <f aca="false">$F71*AB71</f>
        <v>#VALUE!</v>
      </c>
      <c r="AK71" s="0"/>
      <c r="AL71" s="0"/>
      <c r="AM71" s="0"/>
      <c r="AN71" s="0"/>
      <c r="AO71" s="0"/>
      <c r="AP71" s="0"/>
      <c r="AQ71" s="0"/>
      <c r="AR71" s="0"/>
    </row>
    <row r="72" customFormat="false" ht="12.75" hidden="false" customHeight="false" outlineLevel="0" collapsed="false">
      <c r="B72" s="108" t="e">
        <f aca="false">([1]!edate,B71,1)</f>
        <v>#VALUE!</v>
      </c>
      <c r="C72" s="109" t="e">
        <f aca="false">IF($C$11="Physical",B73+24,B73)</f>
        <v>#VALUE!</v>
      </c>
      <c r="D72" s="110" t="n">
        <v>0</v>
      </c>
      <c r="E72" s="111" t="e">
        <f aca="false">VLOOKUP($B72,Model!$A$8:$E$289,5)</f>
        <v>#VALUE!</v>
      </c>
      <c r="F72" s="111" t="e">
        <f aca="false">VLOOKUP($B72,Model!$A$8:$F$289,6)</f>
        <v>#VALUE!</v>
      </c>
      <c r="G72" s="127" t="e">
        <f aca="false">VLOOKUP($B72,Model!$A$8:$AO$289,41)</f>
        <v>#VALUE!</v>
      </c>
      <c r="I72" s="113" t="n">
        <v>0</v>
      </c>
      <c r="J72" s="114" t="e">
        <f aca="false">VLOOKUP($B72,Curve_Fetch,3)</f>
        <v>#VALUE!</v>
      </c>
      <c r="K72" s="121" t="n">
        <f aca="false">K71</f>
        <v>0</v>
      </c>
      <c r="L72" s="116" t="e">
        <f aca="false">IF(Control!$Y$26=Control!$X$27,J72,I72)+K72</f>
        <v>#VALUE!</v>
      </c>
      <c r="M72" s="113" t="n">
        <v>0</v>
      </c>
      <c r="N72" s="114" t="e">
        <f aca="false">VLOOKUP($B72,Curve_Fetch,VLOOKUP(Control!$AJ$10,Control!$AI$11:$AK$22,3))</f>
        <v>#VALUE!</v>
      </c>
      <c r="O72" s="121" t="n">
        <f aca="false">O71</f>
        <v>0</v>
      </c>
      <c r="P72" s="116" t="e">
        <f aca="false">IF(Control!$Y$31=Control!$X$32,N72,M72)+O72</f>
        <v>#VALUE!</v>
      </c>
      <c r="Q72" s="113" t="n">
        <v>0</v>
      </c>
      <c r="R72" s="114" t="e">
        <f aca="false">VLOOKUP($B72,Curve_Fetch,(VLOOKUP(Control!$AJ$10,Control!$AI$11:$AL$22,4)))</f>
        <v>#VALUE!</v>
      </c>
      <c r="S72" s="121" t="n">
        <f aca="false">S71</f>
        <v>0</v>
      </c>
      <c r="T72" s="116" t="e">
        <f aca="false">IF($C$11="Physical",IF(Control!$Y$37=Control!$X$38,R72,Q72)+S72,0)</f>
        <v>#VALUE!</v>
      </c>
      <c r="U72" s="117" t="e">
        <f aca="false">IF($C$11="Financial",L72+P72,L72+P72+T72)</f>
        <v>#VALUE!</v>
      </c>
      <c r="V72" s="114"/>
      <c r="W72" s="118" t="e">
        <f aca="false">VLOOKUP($B72,Model!$A$8:$S$289,19)</f>
        <v>#VALUE!</v>
      </c>
      <c r="X72" s="120" t="n">
        <f aca="false">X71</f>
        <v>0</v>
      </c>
      <c r="Y72" s="120" t="e">
        <f aca="false">W72+X72</f>
        <v>#VALUE!</v>
      </c>
      <c r="Z72" s="121" t="n">
        <f aca="false">Z71</f>
        <v>0</v>
      </c>
      <c r="AA72" s="121" t="e">
        <f aca="false">U72+Z72</f>
        <v>#VALUE!</v>
      </c>
      <c r="AB72" s="128" t="e">
        <f aca="false">EURO(U72,AA72,VLOOKUP($B72,Curve_Fetch,2),VLOOKUP($B72,Curve_Fetch,2),Y72,VLOOKUP($B72,Model!$A$8:$R$289,18),IF(Euro!$C$10="Call",1,0),0)</f>
        <v>#VALUE!</v>
      </c>
      <c r="AD72" s="123" t="e">
        <f aca="false">$G72*L72</f>
        <v>#VALUE!</v>
      </c>
      <c r="AE72" s="124" t="e">
        <f aca="false">$G72*P72</f>
        <v>#VALUE!</v>
      </c>
      <c r="AF72" s="124" t="e">
        <f aca="false">$G72*T72</f>
        <v>#VALUE!</v>
      </c>
      <c r="AG72" s="124" t="e">
        <f aca="false">$G72*U72</f>
        <v>#VALUE!</v>
      </c>
      <c r="AH72" s="124" t="e">
        <f aca="false">$G72*AA72</f>
        <v>#VALUE!</v>
      </c>
      <c r="AI72" s="125" t="e">
        <f aca="false">$F72*AB72</f>
        <v>#VALUE!</v>
      </c>
      <c r="AK72" s="0"/>
      <c r="AL72" s="0"/>
      <c r="AM72" s="0"/>
      <c r="AN72" s="0"/>
      <c r="AO72" s="0"/>
      <c r="AP72" s="0"/>
      <c r="AQ72" s="0"/>
      <c r="AR72" s="0"/>
    </row>
    <row r="73" customFormat="false" ht="12.75" hidden="false" customHeight="false" outlineLevel="0" collapsed="false">
      <c r="B73" s="108" t="e">
        <f aca="false">([1]!edate,B72,1)</f>
        <v>#VALUE!</v>
      </c>
      <c r="C73" s="109" t="e">
        <f aca="false">IF($C$11="Physical",B74+24,B74)</f>
        <v>#VALUE!</v>
      </c>
      <c r="D73" s="110" t="n">
        <v>0</v>
      </c>
      <c r="E73" s="111" t="e">
        <f aca="false">VLOOKUP($B73,Model!$A$8:$E$289,5)</f>
        <v>#VALUE!</v>
      </c>
      <c r="F73" s="111" t="e">
        <f aca="false">VLOOKUP($B73,Model!$A$8:$F$289,6)</f>
        <v>#VALUE!</v>
      </c>
      <c r="G73" s="127" t="e">
        <f aca="false">VLOOKUP($B73,Model!$A$8:$AO$289,41)</f>
        <v>#VALUE!</v>
      </c>
      <c r="I73" s="113" t="n">
        <v>0</v>
      </c>
      <c r="J73" s="114" t="e">
        <f aca="false">VLOOKUP($B73,Curve_Fetch,3)</f>
        <v>#VALUE!</v>
      </c>
      <c r="K73" s="121" t="n">
        <f aca="false">K72</f>
        <v>0</v>
      </c>
      <c r="L73" s="116" t="e">
        <f aca="false">IF(Control!$Y$26=Control!$X$27,J73,I73)+K73</f>
        <v>#VALUE!</v>
      </c>
      <c r="M73" s="113" t="n">
        <v>0</v>
      </c>
      <c r="N73" s="114" t="e">
        <f aca="false">VLOOKUP($B73,Curve_Fetch,VLOOKUP(Control!$AJ$10,Control!$AI$11:$AK$22,3))</f>
        <v>#VALUE!</v>
      </c>
      <c r="O73" s="121" t="n">
        <f aca="false">O72</f>
        <v>0</v>
      </c>
      <c r="P73" s="116" t="e">
        <f aca="false">IF(Control!$Y$31=Control!$X$32,N73,M73)+O73</f>
        <v>#VALUE!</v>
      </c>
      <c r="Q73" s="113" t="n">
        <v>0</v>
      </c>
      <c r="R73" s="114" t="e">
        <f aca="false">VLOOKUP($B73,Curve_Fetch,(VLOOKUP(Control!$AJ$10,Control!$AI$11:$AL$22,4)))</f>
        <v>#VALUE!</v>
      </c>
      <c r="S73" s="121" t="n">
        <f aca="false">S72</f>
        <v>0</v>
      </c>
      <c r="T73" s="116" t="e">
        <f aca="false">IF($C$11="Physical",IF(Control!$Y$37=Control!$X$38,R73,Q73)+S73,0)</f>
        <v>#VALUE!</v>
      </c>
      <c r="U73" s="117" t="e">
        <f aca="false">IF($C$11="Financial",L73+P73,L73+P73+T73)</f>
        <v>#VALUE!</v>
      </c>
      <c r="V73" s="114"/>
      <c r="W73" s="118" t="e">
        <f aca="false">VLOOKUP($B73,Model!$A$8:$S$289,19)</f>
        <v>#VALUE!</v>
      </c>
      <c r="X73" s="120" t="n">
        <f aca="false">X72</f>
        <v>0</v>
      </c>
      <c r="Y73" s="120" t="e">
        <f aca="false">W73+X73</f>
        <v>#VALUE!</v>
      </c>
      <c r="Z73" s="121" t="n">
        <f aca="false">Z72</f>
        <v>0</v>
      </c>
      <c r="AA73" s="121" t="e">
        <f aca="false">U73+Z73</f>
        <v>#VALUE!</v>
      </c>
      <c r="AB73" s="128" t="e">
        <f aca="false">EURO(U73,AA73,VLOOKUP($B73,Curve_Fetch,2),VLOOKUP($B73,Curve_Fetch,2),Y73,VLOOKUP($B73,Model!$A$8:$R$289,18),IF(Euro!$C$10="Call",1,0),0)</f>
        <v>#VALUE!</v>
      </c>
      <c r="AD73" s="123" t="e">
        <f aca="false">$G73*L73</f>
        <v>#VALUE!</v>
      </c>
      <c r="AE73" s="124" t="e">
        <f aca="false">$G73*P73</f>
        <v>#VALUE!</v>
      </c>
      <c r="AF73" s="124" t="e">
        <f aca="false">$G73*T73</f>
        <v>#VALUE!</v>
      </c>
      <c r="AG73" s="124" t="e">
        <f aca="false">$G73*U73</f>
        <v>#VALUE!</v>
      </c>
      <c r="AH73" s="124" t="e">
        <f aca="false">$G73*AA73</f>
        <v>#VALUE!</v>
      </c>
      <c r="AI73" s="125" t="e">
        <f aca="false">$F73*AB73</f>
        <v>#VALUE!</v>
      </c>
      <c r="AK73" s="0"/>
      <c r="AL73" s="0"/>
      <c r="AM73" s="0"/>
      <c r="AN73" s="0"/>
      <c r="AO73" s="0"/>
      <c r="AP73" s="0"/>
      <c r="AQ73" s="0"/>
      <c r="AR73" s="0"/>
    </row>
    <row r="74" customFormat="false" ht="12.75" hidden="false" customHeight="false" outlineLevel="0" collapsed="false">
      <c r="B74" s="108" t="e">
        <f aca="false">([1]!edate,B73,1)</f>
        <v>#VALUE!</v>
      </c>
      <c r="C74" s="109" t="e">
        <f aca="false">IF($C$11="Physical",B75+24,B75)</f>
        <v>#VALUE!</v>
      </c>
      <c r="D74" s="110" t="n">
        <v>0</v>
      </c>
      <c r="E74" s="111" t="e">
        <f aca="false">VLOOKUP($B74,Model!$A$8:$E$289,5)</f>
        <v>#VALUE!</v>
      </c>
      <c r="F74" s="111" t="e">
        <f aca="false">VLOOKUP($B74,Model!$A$8:$F$289,6)</f>
        <v>#VALUE!</v>
      </c>
      <c r="G74" s="127" t="e">
        <f aca="false">VLOOKUP($B74,Model!$A$8:$AO$289,41)</f>
        <v>#VALUE!</v>
      </c>
      <c r="I74" s="113" t="n">
        <v>0</v>
      </c>
      <c r="J74" s="114" t="e">
        <f aca="false">VLOOKUP($B74,Curve_Fetch,3)</f>
        <v>#VALUE!</v>
      </c>
      <c r="K74" s="121" t="n">
        <f aca="false">K73</f>
        <v>0</v>
      </c>
      <c r="L74" s="116" t="e">
        <f aca="false">IF(Control!$Y$26=Control!$X$27,J74,I74)+K74</f>
        <v>#VALUE!</v>
      </c>
      <c r="M74" s="113" t="n">
        <v>0</v>
      </c>
      <c r="N74" s="114" t="e">
        <f aca="false">VLOOKUP($B74,Curve_Fetch,VLOOKUP(Control!$AJ$10,Control!$AI$11:$AK$22,3))</f>
        <v>#VALUE!</v>
      </c>
      <c r="O74" s="121" t="n">
        <f aca="false">O73</f>
        <v>0</v>
      </c>
      <c r="P74" s="116" t="e">
        <f aca="false">IF(Control!$Y$31=Control!$X$32,N74,M74)+O74</f>
        <v>#VALUE!</v>
      </c>
      <c r="Q74" s="113" t="n">
        <v>0</v>
      </c>
      <c r="R74" s="114" t="e">
        <f aca="false">VLOOKUP($B74,Curve_Fetch,(VLOOKUP(Control!$AJ$10,Control!$AI$11:$AL$22,4)))</f>
        <v>#VALUE!</v>
      </c>
      <c r="S74" s="121" t="n">
        <f aca="false">S73</f>
        <v>0</v>
      </c>
      <c r="T74" s="116" t="e">
        <f aca="false">IF($C$11="Physical",IF(Control!$Y$37=Control!$X$38,R74,Q74)+S74,0)</f>
        <v>#VALUE!</v>
      </c>
      <c r="U74" s="117" t="e">
        <f aca="false">IF($C$11="Financial",L74+P74,L74+P74+T74)</f>
        <v>#VALUE!</v>
      </c>
      <c r="V74" s="114"/>
      <c r="W74" s="118" t="e">
        <f aca="false">VLOOKUP($B74,Model!$A$8:$S$289,19)</f>
        <v>#VALUE!</v>
      </c>
      <c r="X74" s="120" t="n">
        <f aca="false">X73</f>
        <v>0</v>
      </c>
      <c r="Y74" s="120" t="e">
        <f aca="false">W74+X74</f>
        <v>#VALUE!</v>
      </c>
      <c r="Z74" s="121" t="n">
        <f aca="false">Z73</f>
        <v>0</v>
      </c>
      <c r="AA74" s="121" t="e">
        <f aca="false">U74+Z74</f>
        <v>#VALUE!</v>
      </c>
      <c r="AB74" s="128" t="e">
        <f aca="false">EURO(U74,AA74,VLOOKUP($B74,Curve_Fetch,2),VLOOKUP($B74,Curve_Fetch,2),Y74,VLOOKUP($B74,Model!$A$8:$R$289,18),IF(Euro!$C$10="Call",1,0),0)</f>
        <v>#VALUE!</v>
      </c>
      <c r="AD74" s="123" t="e">
        <f aca="false">$G74*L74</f>
        <v>#VALUE!</v>
      </c>
      <c r="AE74" s="124" t="e">
        <f aca="false">$G74*P74</f>
        <v>#VALUE!</v>
      </c>
      <c r="AF74" s="124" t="e">
        <f aca="false">$G74*T74</f>
        <v>#VALUE!</v>
      </c>
      <c r="AG74" s="124" t="e">
        <f aca="false">$G74*U74</f>
        <v>#VALUE!</v>
      </c>
      <c r="AH74" s="124" t="e">
        <f aca="false">$G74*AA74</f>
        <v>#VALUE!</v>
      </c>
      <c r="AI74" s="125" t="e">
        <f aca="false">$F74*AB74</f>
        <v>#VALUE!</v>
      </c>
      <c r="AK74" s="0"/>
      <c r="AL74" s="0"/>
      <c r="AM74" s="0"/>
      <c r="AN74" s="0"/>
      <c r="AO74" s="0"/>
      <c r="AP74" s="0"/>
      <c r="AQ74" s="0"/>
      <c r="AR74" s="0"/>
    </row>
    <row r="75" customFormat="false" ht="12.75" hidden="false" customHeight="false" outlineLevel="0" collapsed="false">
      <c r="B75" s="108" t="e">
        <f aca="false">([1]!edate,B74,1)</f>
        <v>#VALUE!</v>
      </c>
      <c r="C75" s="109" t="e">
        <f aca="false">IF($C$11="Physical",B76+24,B76)</f>
        <v>#VALUE!</v>
      </c>
      <c r="D75" s="110" t="n">
        <v>0</v>
      </c>
      <c r="E75" s="111" t="e">
        <f aca="false">VLOOKUP($B75,Model!$A$8:$E$289,5)</f>
        <v>#VALUE!</v>
      </c>
      <c r="F75" s="111" t="e">
        <f aca="false">VLOOKUP($B75,Model!$A$8:$F$289,6)</f>
        <v>#VALUE!</v>
      </c>
      <c r="G75" s="127" t="e">
        <f aca="false">VLOOKUP($B75,Model!$A$8:$AO$289,41)</f>
        <v>#VALUE!</v>
      </c>
      <c r="I75" s="113" t="n">
        <v>0</v>
      </c>
      <c r="J75" s="114" t="e">
        <f aca="false">VLOOKUP($B75,Curve_Fetch,3)</f>
        <v>#VALUE!</v>
      </c>
      <c r="K75" s="121" t="n">
        <f aca="false">K74</f>
        <v>0</v>
      </c>
      <c r="L75" s="116" t="e">
        <f aca="false">IF(Control!$Y$26=Control!$X$27,J75,I75)+K75</f>
        <v>#VALUE!</v>
      </c>
      <c r="M75" s="113" t="n">
        <v>0</v>
      </c>
      <c r="N75" s="114" t="e">
        <f aca="false">VLOOKUP($B75,Curve_Fetch,VLOOKUP(Control!$AJ$10,Control!$AI$11:$AK$22,3))</f>
        <v>#VALUE!</v>
      </c>
      <c r="O75" s="121" t="n">
        <f aca="false">O74</f>
        <v>0</v>
      </c>
      <c r="P75" s="116" t="e">
        <f aca="false">IF(Control!$Y$31=Control!$X$32,N75,M75)+O75</f>
        <v>#VALUE!</v>
      </c>
      <c r="Q75" s="113" t="n">
        <v>0</v>
      </c>
      <c r="R75" s="114" t="e">
        <f aca="false">VLOOKUP($B75,Curve_Fetch,(VLOOKUP(Control!$AJ$10,Control!$AI$11:$AL$22,4)))</f>
        <v>#VALUE!</v>
      </c>
      <c r="S75" s="121" t="n">
        <f aca="false">S74</f>
        <v>0</v>
      </c>
      <c r="T75" s="116" t="e">
        <f aca="false">IF($C$11="Physical",IF(Control!$Y$37=Control!$X$38,R75,Q75)+S75,0)</f>
        <v>#VALUE!</v>
      </c>
      <c r="U75" s="117" t="e">
        <f aca="false">IF($C$11="Financial",L75+P75,L75+P75+T75)</f>
        <v>#VALUE!</v>
      </c>
      <c r="V75" s="114"/>
      <c r="W75" s="118" t="e">
        <f aca="false">VLOOKUP($B75,Model!$A$8:$S$289,19)</f>
        <v>#VALUE!</v>
      </c>
      <c r="X75" s="120" t="n">
        <f aca="false">X74</f>
        <v>0</v>
      </c>
      <c r="Y75" s="120" t="e">
        <f aca="false">W75+X75</f>
        <v>#VALUE!</v>
      </c>
      <c r="Z75" s="121" t="n">
        <f aca="false">Z74</f>
        <v>0</v>
      </c>
      <c r="AA75" s="121" t="e">
        <f aca="false">U75+Z75</f>
        <v>#VALUE!</v>
      </c>
      <c r="AB75" s="128" t="e">
        <f aca="false">EURO(U75,AA75,VLOOKUP($B75,Curve_Fetch,2),VLOOKUP($B75,Curve_Fetch,2),Y75,VLOOKUP($B75,Model!$A$8:$R$289,18),IF(Euro!$C$10="Call",1,0),0)</f>
        <v>#VALUE!</v>
      </c>
      <c r="AD75" s="123" t="e">
        <f aca="false">$G75*L75</f>
        <v>#VALUE!</v>
      </c>
      <c r="AE75" s="124" t="e">
        <f aca="false">$G75*P75</f>
        <v>#VALUE!</v>
      </c>
      <c r="AF75" s="124" t="e">
        <f aca="false">$G75*T75</f>
        <v>#VALUE!</v>
      </c>
      <c r="AG75" s="124" t="e">
        <f aca="false">$G75*U75</f>
        <v>#VALUE!</v>
      </c>
      <c r="AH75" s="124" t="e">
        <f aca="false">$G75*AA75</f>
        <v>#VALUE!</v>
      </c>
      <c r="AI75" s="125" t="e">
        <f aca="false">$F75*AB75</f>
        <v>#VALUE!</v>
      </c>
      <c r="AK75" s="0"/>
      <c r="AL75" s="0"/>
      <c r="AM75" s="0"/>
      <c r="AN75" s="0"/>
      <c r="AO75" s="0"/>
      <c r="AP75" s="0"/>
      <c r="AQ75" s="0"/>
      <c r="AR75" s="0"/>
    </row>
    <row r="76" customFormat="false" ht="12.75" hidden="false" customHeight="false" outlineLevel="0" collapsed="false">
      <c r="B76" s="108" t="e">
        <f aca="false">([1]!edate,B75,1)</f>
        <v>#VALUE!</v>
      </c>
      <c r="C76" s="109" t="e">
        <f aca="false">IF($C$11="Physical",B77+24,B77)</f>
        <v>#VALUE!</v>
      </c>
      <c r="D76" s="110" t="n">
        <v>0</v>
      </c>
      <c r="E76" s="111" t="e">
        <f aca="false">VLOOKUP($B76,Model!$A$8:$E$289,5)</f>
        <v>#VALUE!</v>
      </c>
      <c r="F76" s="111" t="e">
        <f aca="false">VLOOKUP($B76,Model!$A$8:$F$289,6)</f>
        <v>#VALUE!</v>
      </c>
      <c r="G76" s="127" t="e">
        <f aca="false">VLOOKUP($B76,Model!$A$8:$AO$289,41)</f>
        <v>#VALUE!</v>
      </c>
      <c r="I76" s="113" t="n">
        <v>0</v>
      </c>
      <c r="J76" s="114" t="e">
        <f aca="false">VLOOKUP($B76,Curve_Fetch,3)</f>
        <v>#VALUE!</v>
      </c>
      <c r="K76" s="121" t="n">
        <f aca="false">K75</f>
        <v>0</v>
      </c>
      <c r="L76" s="116" t="e">
        <f aca="false">IF(Control!$Y$26=Control!$X$27,J76,I76)+K76</f>
        <v>#VALUE!</v>
      </c>
      <c r="M76" s="113" t="n">
        <v>0</v>
      </c>
      <c r="N76" s="114" t="e">
        <f aca="false">VLOOKUP($B76,Curve_Fetch,VLOOKUP(Control!$AJ$10,Control!$AI$11:$AK$22,3))</f>
        <v>#VALUE!</v>
      </c>
      <c r="O76" s="121" t="n">
        <f aca="false">O75</f>
        <v>0</v>
      </c>
      <c r="P76" s="116" t="e">
        <f aca="false">IF(Control!$Y$31=Control!$X$32,N76,M76)+O76</f>
        <v>#VALUE!</v>
      </c>
      <c r="Q76" s="113" t="n">
        <v>0</v>
      </c>
      <c r="R76" s="114" t="e">
        <f aca="false">VLOOKUP($B76,Curve_Fetch,(VLOOKUP(Control!$AJ$10,Control!$AI$11:$AL$22,4)))</f>
        <v>#VALUE!</v>
      </c>
      <c r="S76" s="121" t="n">
        <f aca="false">S75</f>
        <v>0</v>
      </c>
      <c r="T76" s="116" t="e">
        <f aca="false">IF($C$11="Physical",IF(Control!$Y$37=Control!$X$38,R76,Q76)+S76,0)</f>
        <v>#VALUE!</v>
      </c>
      <c r="U76" s="117" t="e">
        <f aca="false">IF($C$11="Financial",L76+P76,L76+P76+T76)</f>
        <v>#VALUE!</v>
      </c>
      <c r="V76" s="114"/>
      <c r="W76" s="118" t="e">
        <f aca="false">VLOOKUP($B76,Model!$A$8:$S$289,19)</f>
        <v>#VALUE!</v>
      </c>
      <c r="X76" s="120" t="n">
        <f aca="false">X75</f>
        <v>0</v>
      </c>
      <c r="Y76" s="120" t="e">
        <f aca="false">W76+X76</f>
        <v>#VALUE!</v>
      </c>
      <c r="Z76" s="121" t="n">
        <f aca="false">Z75</f>
        <v>0</v>
      </c>
      <c r="AA76" s="121" t="e">
        <f aca="false">U76+Z76</f>
        <v>#VALUE!</v>
      </c>
      <c r="AB76" s="128" t="e">
        <f aca="false">EURO(U76,AA76,VLOOKUP($B76,Curve_Fetch,2),VLOOKUP($B76,Curve_Fetch,2),Y76,VLOOKUP($B76,Model!$A$8:$R$289,18),IF(Euro!$C$10="Call",1,0),0)</f>
        <v>#VALUE!</v>
      </c>
      <c r="AD76" s="123" t="e">
        <f aca="false">$G76*L76</f>
        <v>#VALUE!</v>
      </c>
      <c r="AE76" s="124" t="e">
        <f aca="false">$G76*P76</f>
        <v>#VALUE!</v>
      </c>
      <c r="AF76" s="124" t="e">
        <f aca="false">$G76*T76</f>
        <v>#VALUE!</v>
      </c>
      <c r="AG76" s="124" t="e">
        <f aca="false">$G76*U76</f>
        <v>#VALUE!</v>
      </c>
      <c r="AH76" s="124" t="e">
        <f aca="false">$G76*AA76</f>
        <v>#VALUE!</v>
      </c>
      <c r="AI76" s="125" t="e">
        <f aca="false">$F76*AB76</f>
        <v>#VALUE!</v>
      </c>
      <c r="AK76" s="0"/>
      <c r="AL76" s="0"/>
      <c r="AM76" s="0"/>
      <c r="AN76" s="0"/>
      <c r="AO76" s="0"/>
      <c r="AP76" s="0"/>
      <c r="AQ76" s="0"/>
      <c r="AR76" s="0"/>
    </row>
    <row r="77" customFormat="false" ht="12.75" hidden="false" customHeight="false" outlineLevel="0" collapsed="false">
      <c r="B77" s="108" t="e">
        <f aca="false">([1]!edate,B76,1)</f>
        <v>#VALUE!</v>
      </c>
      <c r="C77" s="109" t="e">
        <f aca="false">IF($C$11="Physical",B78+24,B78)</f>
        <v>#VALUE!</v>
      </c>
      <c r="D77" s="110" t="n">
        <v>0</v>
      </c>
      <c r="E77" s="111" t="e">
        <f aca="false">VLOOKUP($B77,Model!$A$8:$E$289,5)</f>
        <v>#VALUE!</v>
      </c>
      <c r="F77" s="111" t="e">
        <f aca="false">VLOOKUP($B77,Model!$A$8:$F$289,6)</f>
        <v>#VALUE!</v>
      </c>
      <c r="G77" s="127" t="e">
        <f aca="false">VLOOKUP($B77,Model!$A$8:$AO$289,41)</f>
        <v>#VALUE!</v>
      </c>
      <c r="I77" s="113" t="n">
        <v>0</v>
      </c>
      <c r="J77" s="114" t="e">
        <f aca="false">VLOOKUP($B77,Curve_Fetch,3)</f>
        <v>#VALUE!</v>
      </c>
      <c r="K77" s="121" t="n">
        <f aca="false">K76</f>
        <v>0</v>
      </c>
      <c r="L77" s="116" t="e">
        <f aca="false">IF(Control!$Y$26=Control!$X$27,J77,I77)+K77</f>
        <v>#VALUE!</v>
      </c>
      <c r="M77" s="113" t="n">
        <v>0</v>
      </c>
      <c r="N77" s="114" t="e">
        <f aca="false">VLOOKUP($B77,Curve_Fetch,VLOOKUP(Control!$AJ$10,Control!$AI$11:$AK$22,3))</f>
        <v>#VALUE!</v>
      </c>
      <c r="O77" s="121" t="n">
        <f aca="false">O76</f>
        <v>0</v>
      </c>
      <c r="P77" s="116" t="e">
        <f aca="false">IF(Control!$Y$31=Control!$X$32,N77,M77)+O77</f>
        <v>#VALUE!</v>
      </c>
      <c r="Q77" s="113" t="n">
        <v>0</v>
      </c>
      <c r="R77" s="114" t="e">
        <f aca="false">VLOOKUP($B77,Curve_Fetch,(VLOOKUP(Control!$AJ$10,Control!$AI$11:$AL$22,4)))</f>
        <v>#VALUE!</v>
      </c>
      <c r="S77" s="121" t="n">
        <f aca="false">S76</f>
        <v>0</v>
      </c>
      <c r="T77" s="116" t="e">
        <f aca="false">IF($C$11="Physical",IF(Control!$Y$37=Control!$X$38,R77,Q77)+S77,0)</f>
        <v>#VALUE!</v>
      </c>
      <c r="U77" s="117" t="e">
        <f aca="false">IF($C$11="Financial",L77+P77,L77+P77+T77)</f>
        <v>#VALUE!</v>
      </c>
      <c r="V77" s="114"/>
      <c r="W77" s="118" t="e">
        <f aca="false">VLOOKUP($B77,Model!$A$8:$S$289,19)</f>
        <v>#VALUE!</v>
      </c>
      <c r="X77" s="120" t="n">
        <f aca="false">X76</f>
        <v>0</v>
      </c>
      <c r="Y77" s="120" t="e">
        <f aca="false">W77+X77</f>
        <v>#VALUE!</v>
      </c>
      <c r="Z77" s="121" t="n">
        <f aca="false">Z76</f>
        <v>0</v>
      </c>
      <c r="AA77" s="121" t="e">
        <f aca="false">U77+Z77</f>
        <v>#VALUE!</v>
      </c>
      <c r="AB77" s="128" t="e">
        <f aca="false">EURO(U77,AA77,VLOOKUP($B77,Curve_Fetch,2),VLOOKUP($B77,Curve_Fetch,2),Y77,VLOOKUP($B77,Model!$A$8:$R$289,18),IF(Euro!$C$10="Call",1,0),0)</f>
        <v>#VALUE!</v>
      </c>
      <c r="AD77" s="123" t="e">
        <f aca="false">$G77*L77</f>
        <v>#VALUE!</v>
      </c>
      <c r="AE77" s="124" t="e">
        <f aca="false">$G77*P77</f>
        <v>#VALUE!</v>
      </c>
      <c r="AF77" s="124" t="e">
        <f aca="false">$G77*T77</f>
        <v>#VALUE!</v>
      </c>
      <c r="AG77" s="124" t="e">
        <f aca="false">$G77*U77</f>
        <v>#VALUE!</v>
      </c>
      <c r="AH77" s="124" t="e">
        <f aca="false">$G77*AA77</f>
        <v>#VALUE!</v>
      </c>
      <c r="AI77" s="125" t="e">
        <f aca="false">$F77*AB77</f>
        <v>#VALUE!</v>
      </c>
      <c r="AK77" s="0"/>
      <c r="AL77" s="0"/>
      <c r="AM77" s="0"/>
      <c r="AN77" s="0"/>
      <c r="AO77" s="0"/>
      <c r="AP77" s="0"/>
      <c r="AQ77" s="0"/>
      <c r="AR77" s="0"/>
    </row>
    <row r="78" customFormat="false" ht="12.75" hidden="false" customHeight="false" outlineLevel="0" collapsed="false">
      <c r="B78" s="108" t="e">
        <f aca="false">([1]!edate,B77,1)</f>
        <v>#VALUE!</v>
      </c>
      <c r="C78" s="109" t="e">
        <f aca="false">IF($C$11="Physical",B79+24,B79)</f>
        <v>#VALUE!</v>
      </c>
      <c r="D78" s="110" t="n">
        <v>0</v>
      </c>
      <c r="E78" s="111" t="e">
        <f aca="false">VLOOKUP($B78,Model!$A$8:$E$289,5)</f>
        <v>#VALUE!</v>
      </c>
      <c r="F78" s="111" t="e">
        <f aca="false">VLOOKUP($B78,Model!$A$8:$F$289,6)</f>
        <v>#VALUE!</v>
      </c>
      <c r="G78" s="127" t="e">
        <f aca="false">VLOOKUP($B78,Model!$A$8:$AO$289,41)</f>
        <v>#VALUE!</v>
      </c>
      <c r="I78" s="113" t="n">
        <v>0</v>
      </c>
      <c r="J78" s="114" t="e">
        <f aca="false">VLOOKUP($B78,Curve_Fetch,3)</f>
        <v>#VALUE!</v>
      </c>
      <c r="K78" s="121" t="n">
        <f aca="false">K77</f>
        <v>0</v>
      </c>
      <c r="L78" s="116" t="e">
        <f aca="false">IF(Control!$Y$26=Control!$X$27,J78,I78)+K78</f>
        <v>#VALUE!</v>
      </c>
      <c r="M78" s="113" t="n">
        <v>0</v>
      </c>
      <c r="N78" s="114" t="e">
        <f aca="false">VLOOKUP($B78,Curve_Fetch,VLOOKUP(Control!$AJ$10,Control!$AI$11:$AK$22,3))</f>
        <v>#VALUE!</v>
      </c>
      <c r="O78" s="121" t="n">
        <f aca="false">O77</f>
        <v>0</v>
      </c>
      <c r="P78" s="116" t="e">
        <f aca="false">IF(Control!$Y$31=Control!$X$32,N78,M78)+O78</f>
        <v>#VALUE!</v>
      </c>
      <c r="Q78" s="113" t="n">
        <v>0</v>
      </c>
      <c r="R78" s="114" t="e">
        <f aca="false">VLOOKUP($B78,Curve_Fetch,(VLOOKUP(Control!$AJ$10,Control!$AI$11:$AL$22,4)))</f>
        <v>#VALUE!</v>
      </c>
      <c r="S78" s="121" t="n">
        <f aca="false">S77</f>
        <v>0</v>
      </c>
      <c r="T78" s="116" t="e">
        <f aca="false">IF($C$11="Physical",IF(Control!$Y$37=Control!$X$38,R78,Q78)+S78,0)</f>
        <v>#VALUE!</v>
      </c>
      <c r="U78" s="117" t="e">
        <f aca="false">IF($C$11="Financial",L78+P78,L78+P78+T78)</f>
        <v>#VALUE!</v>
      </c>
      <c r="V78" s="114"/>
      <c r="W78" s="118" t="e">
        <f aca="false">VLOOKUP($B78,Model!$A$8:$S$289,19)</f>
        <v>#VALUE!</v>
      </c>
      <c r="X78" s="120" t="n">
        <f aca="false">X77</f>
        <v>0</v>
      </c>
      <c r="Y78" s="120" t="e">
        <f aca="false">W78+X78</f>
        <v>#VALUE!</v>
      </c>
      <c r="Z78" s="121" t="n">
        <f aca="false">Z77</f>
        <v>0</v>
      </c>
      <c r="AA78" s="121" t="e">
        <f aca="false">U78+Z78</f>
        <v>#VALUE!</v>
      </c>
      <c r="AB78" s="128" t="e">
        <f aca="false">EURO(U78,AA78,VLOOKUP($B78,Curve_Fetch,2),VLOOKUP($B78,Curve_Fetch,2),Y78,VLOOKUP($B78,Model!$A$8:$R$289,18),IF(Euro!$C$10="Call",1,0),0)</f>
        <v>#VALUE!</v>
      </c>
      <c r="AD78" s="123" t="e">
        <f aca="false">$G78*L78</f>
        <v>#VALUE!</v>
      </c>
      <c r="AE78" s="124" t="e">
        <f aca="false">$G78*P78</f>
        <v>#VALUE!</v>
      </c>
      <c r="AF78" s="124" t="e">
        <f aca="false">$G78*T78</f>
        <v>#VALUE!</v>
      </c>
      <c r="AG78" s="124" t="e">
        <f aca="false">$G78*U78</f>
        <v>#VALUE!</v>
      </c>
      <c r="AH78" s="124" t="e">
        <f aca="false">$G78*AA78</f>
        <v>#VALUE!</v>
      </c>
      <c r="AI78" s="125" t="e">
        <f aca="false">$F78*AB78</f>
        <v>#VALUE!</v>
      </c>
      <c r="AK78" s="0"/>
      <c r="AL78" s="0"/>
      <c r="AM78" s="0"/>
      <c r="AN78" s="0"/>
      <c r="AO78" s="0"/>
      <c r="AP78" s="0"/>
      <c r="AQ78" s="0"/>
      <c r="AR78" s="0"/>
    </row>
    <row r="79" customFormat="false" ht="12.75" hidden="false" customHeight="false" outlineLevel="0" collapsed="false">
      <c r="B79" s="108" t="e">
        <f aca="false">([1]!edate,B78,1)</f>
        <v>#VALUE!</v>
      </c>
      <c r="C79" s="109" t="e">
        <f aca="false">IF($C$11="Physical",B80+24,B80)</f>
        <v>#VALUE!</v>
      </c>
      <c r="D79" s="110" t="n">
        <v>0</v>
      </c>
      <c r="E79" s="111" t="e">
        <f aca="false">VLOOKUP($B79,Model!$A$8:$E$289,5)</f>
        <v>#VALUE!</v>
      </c>
      <c r="F79" s="111" t="e">
        <f aca="false">VLOOKUP($B79,Model!$A$8:$F$289,6)</f>
        <v>#VALUE!</v>
      </c>
      <c r="G79" s="127" t="e">
        <f aca="false">VLOOKUP($B79,Model!$A$8:$AO$289,41)</f>
        <v>#VALUE!</v>
      </c>
      <c r="I79" s="113" t="n">
        <v>0</v>
      </c>
      <c r="J79" s="114" t="e">
        <f aca="false">VLOOKUP($B79,Curve_Fetch,3)</f>
        <v>#VALUE!</v>
      </c>
      <c r="K79" s="121" t="n">
        <f aca="false">K78</f>
        <v>0</v>
      </c>
      <c r="L79" s="116" t="e">
        <f aca="false">IF(Control!$Y$26=Control!$X$27,J79,I79)+K79</f>
        <v>#VALUE!</v>
      </c>
      <c r="M79" s="113" t="n">
        <v>0</v>
      </c>
      <c r="N79" s="114" t="e">
        <f aca="false">VLOOKUP($B79,Curve_Fetch,VLOOKUP(Control!$AJ$10,Control!$AI$11:$AK$22,3))</f>
        <v>#VALUE!</v>
      </c>
      <c r="O79" s="121" t="n">
        <f aca="false">O78</f>
        <v>0</v>
      </c>
      <c r="P79" s="116" t="e">
        <f aca="false">IF(Control!$Y$31=Control!$X$32,N79,M79)+O79</f>
        <v>#VALUE!</v>
      </c>
      <c r="Q79" s="113" t="n">
        <v>0</v>
      </c>
      <c r="R79" s="114" t="e">
        <f aca="false">VLOOKUP($B79,Curve_Fetch,(VLOOKUP(Control!$AJ$10,Control!$AI$11:$AL$22,4)))</f>
        <v>#VALUE!</v>
      </c>
      <c r="S79" s="121" t="n">
        <f aca="false">S78</f>
        <v>0</v>
      </c>
      <c r="T79" s="116" t="e">
        <f aca="false">IF($C$11="Physical",IF(Control!$Y$37=Control!$X$38,R79,Q79)+S79,0)</f>
        <v>#VALUE!</v>
      </c>
      <c r="U79" s="117" t="e">
        <f aca="false">IF($C$11="Financial",L79+P79,L79+P79+T79)</f>
        <v>#VALUE!</v>
      </c>
      <c r="V79" s="114"/>
      <c r="W79" s="118" t="e">
        <f aca="false">VLOOKUP($B79,Model!$A$8:$S$289,19)</f>
        <v>#VALUE!</v>
      </c>
      <c r="X79" s="120" t="n">
        <f aca="false">X78</f>
        <v>0</v>
      </c>
      <c r="Y79" s="120" t="e">
        <f aca="false">W79+X79</f>
        <v>#VALUE!</v>
      </c>
      <c r="Z79" s="121" t="n">
        <f aca="false">Z78</f>
        <v>0</v>
      </c>
      <c r="AA79" s="121" t="e">
        <f aca="false">U79+Z79</f>
        <v>#VALUE!</v>
      </c>
      <c r="AB79" s="128" t="e">
        <f aca="false">EURO(U79,AA79,VLOOKUP($B79,Curve_Fetch,2),VLOOKUP($B79,Curve_Fetch,2),Y79,VLOOKUP($B79,Model!$A$8:$R$289,18),IF(Euro!$C$10="Call",1,0),0)</f>
        <v>#VALUE!</v>
      </c>
      <c r="AD79" s="123" t="e">
        <f aca="false">$G79*L79</f>
        <v>#VALUE!</v>
      </c>
      <c r="AE79" s="124" t="e">
        <f aca="false">$G79*P79</f>
        <v>#VALUE!</v>
      </c>
      <c r="AF79" s="124" t="e">
        <f aca="false">$G79*T79</f>
        <v>#VALUE!</v>
      </c>
      <c r="AG79" s="124" t="e">
        <f aca="false">$G79*U79</f>
        <v>#VALUE!</v>
      </c>
      <c r="AH79" s="124" t="e">
        <f aca="false">$G79*AA79</f>
        <v>#VALUE!</v>
      </c>
      <c r="AI79" s="125" t="e">
        <f aca="false">$F79*AB79</f>
        <v>#VALUE!</v>
      </c>
      <c r="AK79" s="0"/>
      <c r="AL79" s="0"/>
      <c r="AM79" s="0"/>
      <c r="AN79" s="0"/>
      <c r="AO79" s="0"/>
      <c r="AP79" s="0"/>
      <c r="AQ79" s="0"/>
      <c r="AR79" s="0"/>
    </row>
    <row r="80" customFormat="false" ht="12.75" hidden="false" customHeight="false" outlineLevel="0" collapsed="false">
      <c r="B80" s="108" t="e">
        <f aca="false">([1]!edate,B79,1)</f>
        <v>#VALUE!</v>
      </c>
      <c r="C80" s="109" t="e">
        <f aca="false">IF($C$11="Physical",B81+24,B81)</f>
        <v>#VALUE!</v>
      </c>
      <c r="D80" s="110" t="n">
        <v>0</v>
      </c>
      <c r="E80" s="111" t="e">
        <f aca="false">VLOOKUP($B80,Model!$A$8:$E$289,5)</f>
        <v>#VALUE!</v>
      </c>
      <c r="F80" s="111" t="e">
        <f aca="false">VLOOKUP($B80,Model!$A$8:$F$289,6)</f>
        <v>#VALUE!</v>
      </c>
      <c r="G80" s="127" t="e">
        <f aca="false">VLOOKUP($B80,Model!$A$8:$AO$289,41)</f>
        <v>#VALUE!</v>
      </c>
      <c r="I80" s="113" t="n">
        <v>0</v>
      </c>
      <c r="J80" s="114" t="e">
        <f aca="false">VLOOKUP($B80,Curve_Fetch,3)</f>
        <v>#VALUE!</v>
      </c>
      <c r="K80" s="121" t="n">
        <f aca="false">K79</f>
        <v>0</v>
      </c>
      <c r="L80" s="116" t="e">
        <f aca="false">IF(Control!$Y$26=Control!$X$27,J80,I80)+K80</f>
        <v>#VALUE!</v>
      </c>
      <c r="M80" s="113" t="n">
        <v>0</v>
      </c>
      <c r="N80" s="114" t="e">
        <f aca="false">VLOOKUP($B80,Curve_Fetch,VLOOKUP(Control!$AJ$10,Control!$AI$11:$AK$22,3))</f>
        <v>#VALUE!</v>
      </c>
      <c r="O80" s="121" t="n">
        <f aca="false">O79</f>
        <v>0</v>
      </c>
      <c r="P80" s="116" t="e">
        <f aca="false">IF(Control!$Y$31=Control!$X$32,N80,M80)+O80</f>
        <v>#VALUE!</v>
      </c>
      <c r="Q80" s="113" t="n">
        <v>0</v>
      </c>
      <c r="R80" s="114" t="e">
        <f aca="false">VLOOKUP($B80,Curve_Fetch,(VLOOKUP(Control!$AJ$10,Control!$AI$11:$AL$22,4)))</f>
        <v>#VALUE!</v>
      </c>
      <c r="S80" s="121" t="n">
        <f aca="false">S79</f>
        <v>0</v>
      </c>
      <c r="T80" s="116" t="e">
        <f aca="false">IF($C$11="Physical",IF(Control!$Y$37=Control!$X$38,R80,Q80)+S80,0)</f>
        <v>#VALUE!</v>
      </c>
      <c r="U80" s="117" t="e">
        <f aca="false">IF($C$11="Financial",L80+P80,L80+P80+T80)</f>
        <v>#VALUE!</v>
      </c>
      <c r="V80" s="114"/>
      <c r="W80" s="118" t="e">
        <f aca="false">VLOOKUP($B80,Model!$A$8:$S$289,19)</f>
        <v>#VALUE!</v>
      </c>
      <c r="X80" s="120" t="n">
        <f aca="false">X79</f>
        <v>0</v>
      </c>
      <c r="Y80" s="120" t="e">
        <f aca="false">W80+X80</f>
        <v>#VALUE!</v>
      </c>
      <c r="Z80" s="121" t="n">
        <f aca="false">Z79</f>
        <v>0</v>
      </c>
      <c r="AA80" s="121" t="e">
        <f aca="false">U80+Z80</f>
        <v>#VALUE!</v>
      </c>
      <c r="AB80" s="128" t="e">
        <f aca="false">EURO(U80,AA80,VLOOKUP($B80,Curve_Fetch,2),VLOOKUP($B80,Curve_Fetch,2),Y80,VLOOKUP($B80,Model!$A$8:$R$289,18),IF(Euro!$C$10="Call",1,0),0)</f>
        <v>#VALUE!</v>
      </c>
      <c r="AD80" s="123" t="e">
        <f aca="false">$G80*L80</f>
        <v>#VALUE!</v>
      </c>
      <c r="AE80" s="124" t="e">
        <f aca="false">$G80*P80</f>
        <v>#VALUE!</v>
      </c>
      <c r="AF80" s="124" t="e">
        <f aca="false">$G80*T80</f>
        <v>#VALUE!</v>
      </c>
      <c r="AG80" s="124" t="e">
        <f aca="false">$G80*U80</f>
        <v>#VALUE!</v>
      </c>
      <c r="AH80" s="124" t="e">
        <f aca="false">$G80*AA80</f>
        <v>#VALUE!</v>
      </c>
      <c r="AI80" s="125" t="e">
        <f aca="false">$F80*AB80</f>
        <v>#VALUE!</v>
      </c>
      <c r="AK80" s="0"/>
      <c r="AL80" s="0"/>
      <c r="AM80" s="0"/>
      <c r="AN80" s="0"/>
      <c r="AO80" s="0"/>
      <c r="AP80" s="0"/>
      <c r="AQ80" s="0"/>
      <c r="AR80" s="0"/>
    </row>
    <row r="81" customFormat="false" ht="12.75" hidden="false" customHeight="false" outlineLevel="0" collapsed="false">
      <c r="B81" s="108" t="e">
        <f aca="false">([1]!edate,B80,1)</f>
        <v>#VALUE!</v>
      </c>
      <c r="C81" s="109" t="e">
        <f aca="false">IF($C$11="Physical",B82+24,B82)</f>
        <v>#VALUE!</v>
      </c>
      <c r="D81" s="110" t="n">
        <v>0</v>
      </c>
      <c r="E81" s="111" t="e">
        <f aca="false">VLOOKUP($B81,Model!$A$8:$E$289,5)</f>
        <v>#VALUE!</v>
      </c>
      <c r="F81" s="111" t="e">
        <f aca="false">VLOOKUP($B81,Model!$A$8:$F$289,6)</f>
        <v>#VALUE!</v>
      </c>
      <c r="G81" s="127" t="e">
        <f aca="false">VLOOKUP($B81,Model!$A$8:$AO$289,41)</f>
        <v>#VALUE!</v>
      </c>
      <c r="I81" s="113" t="n">
        <v>0</v>
      </c>
      <c r="J81" s="114" t="e">
        <f aca="false">VLOOKUP($B81,Curve_Fetch,3)</f>
        <v>#VALUE!</v>
      </c>
      <c r="K81" s="121" t="n">
        <f aca="false">K80</f>
        <v>0</v>
      </c>
      <c r="L81" s="116" t="e">
        <f aca="false">IF(Control!$Y$26=Control!$X$27,J81,I81)+K81</f>
        <v>#VALUE!</v>
      </c>
      <c r="M81" s="113" t="n">
        <v>0</v>
      </c>
      <c r="N81" s="114" t="e">
        <f aca="false">VLOOKUP($B81,Curve_Fetch,VLOOKUP(Control!$AJ$10,Control!$AI$11:$AK$22,3))</f>
        <v>#VALUE!</v>
      </c>
      <c r="O81" s="121" t="n">
        <f aca="false">O80</f>
        <v>0</v>
      </c>
      <c r="P81" s="116" t="e">
        <f aca="false">IF(Control!$Y$31=Control!$X$32,N81,M81)+O81</f>
        <v>#VALUE!</v>
      </c>
      <c r="Q81" s="113" t="n">
        <v>0</v>
      </c>
      <c r="R81" s="114" t="e">
        <f aca="false">VLOOKUP($B81,Curve_Fetch,(VLOOKUP(Control!$AJ$10,Control!$AI$11:$AL$22,4)))</f>
        <v>#VALUE!</v>
      </c>
      <c r="S81" s="121" t="n">
        <f aca="false">S80</f>
        <v>0</v>
      </c>
      <c r="T81" s="116" t="e">
        <f aca="false">IF($C$11="Physical",IF(Control!$Y$37=Control!$X$38,R81,Q81)+S81,0)</f>
        <v>#VALUE!</v>
      </c>
      <c r="U81" s="117" t="e">
        <f aca="false">IF($C$11="Financial",L81+P81,L81+P81+T81)</f>
        <v>#VALUE!</v>
      </c>
      <c r="V81" s="114"/>
      <c r="W81" s="118" t="e">
        <f aca="false">VLOOKUP($B81,Model!$A$8:$S$289,19)</f>
        <v>#VALUE!</v>
      </c>
      <c r="X81" s="120" t="n">
        <f aca="false">X80</f>
        <v>0</v>
      </c>
      <c r="Y81" s="120" t="e">
        <f aca="false">W81+X81</f>
        <v>#VALUE!</v>
      </c>
      <c r="Z81" s="121" t="n">
        <f aca="false">Z80</f>
        <v>0</v>
      </c>
      <c r="AA81" s="121" t="e">
        <f aca="false">U81+Z81</f>
        <v>#VALUE!</v>
      </c>
      <c r="AB81" s="128" t="e">
        <f aca="false">EURO(U81,AA81,VLOOKUP($B81,Curve_Fetch,2),VLOOKUP($B81,Curve_Fetch,2),Y81,VLOOKUP($B81,Model!$A$8:$R$289,18),IF(Euro!$C$10="Call",1,0),0)</f>
        <v>#VALUE!</v>
      </c>
      <c r="AD81" s="123" t="e">
        <f aca="false">$G81*L81</f>
        <v>#VALUE!</v>
      </c>
      <c r="AE81" s="124" t="e">
        <f aca="false">$G81*P81</f>
        <v>#VALUE!</v>
      </c>
      <c r="AF81" s="124" t="e">
        <f aca="false">$G81*T81</f>
        <v>#VALUE!</v>
      </c>
      <c r="AG81" s="124" t="e">
        <f aca="false">$G81*U81</f>
        <v>#VALUE!</v>
      </c>
      <c r="AH81" s="124" t="e">
        <f aca="false">$G81*AA81</f>
        <v>#VALUE!</v>
      </c>
      <c r="AI81" s="125" t="e">
        <f aca="false">$F81*AB81</f>
        <v>#VALUE!</v>
      </c>
      <c r="AK81" s="0"/>
      <c r="AL81" s="0"/>
      <c r="AM81" s="0"/>
      <c r="AN81" s="0"/>
      <c r="AO81" s="0"/>
      <c r="AP81" s="0"/>
      <c r="AQ81" s="0"/>
      <c r="AR81" s="0"/>
    </row>
    <row r="82" customFormat="false" ht="12.75" hidden="false" customHeight="false" outlineLevel="0" collapsed="false">
      <c r="B82" s="108" t="e">
        <f aca="false">([1]!edate,B81,1)</f>
        <v>#VALUE!</v>
      </c>
      <c r="C82" s="109" t="e">
        <f aca="false">IF($C$11="Physical",B83+24,B83)</f>
        <v>#VALUE!</v>
      </c>
      <c r="D82" s="110" t="n">
        <v>0</v>
      </c>
      <c r="E82" s="111" t="e">
        <f aca="false">VLOOKUP($B82,Model!$A$8:$E$289,5)</f>
        <v>#VALUE!</v>
      </c>
      <c r="F82" s="111" t="e">
        <f aca="false">VLOOKUP($B82,Model!$A$8:$F$289,6)</f>
        <v>#VALUE!</v>
      </c>
      <c r="G82" s="127" t="e">
        <f aca="false">VLOOKUP($B82,Model!$A$8:$AO$289,41)</f>
        <v>#VALUE!</v>
      </c>
      <c r="I82" s="113" t="n">
        <v>0</v>
      </c>
      <c r="J82" s="114" t="e">
        <f aca="false">VLOOKUP($B82,Curve_Fetch,3)</f>
        <v>#VALUE!</v>
      </c>
      <c r="K82" s="121" t="n">
        <f aca="false">K81</f>
        <v>0</v>
      </c>
      <c r="L82" s="116" t="e">
        <f aca="false">IF(Control!$Y$26=Control!$X$27,J82,I82)+K82</f>
        <v>#VALUE!</v>
      </c>
      <c r="M82" s="113" t="n">
        <v>0</v>
      </c>
      <c r="N82" s="114" t="e">
        <f aca="false">VLOOKUP($B82,Curve_Fetch,VLOOKUP(Control!$AJ$10,Control!$AI$11:$AK$22,3))</f>
        <v>#VALUE!</v>
      </c>
      <c r="O82" s="121" t="n">
        <f aca="false">O81</f>
        <v>0</v>
      </c>
      <c r="P82" s="116" t="e">
        <f aca="false">IF(Control!$Y$31=Control!$X$32,N82,M82)+O82</f>
        <v>#VALUE!</v>
      </c>
      <c r="Q82" s="113" t="n">
        <v>0</v>
      </c>
      <c r="R82" s="114" t="e">
        <f aca="false">VLOOKUP($B82,Curve_Fetch,(VLOOKUP(Control!$AJ$10,Control!$AI$11:$AL$22,4)))</f>
        <v>#VALUE!</v>
      </c>
      <c r="S82" s="121" t="n">
        <f aca="false">S81</f>
        <v>0</v>
      </c>
      <c r="T82" s="116" t="e">
        <f aca="false">IF($C$11="Physical",IF(Control!$Y$37=Control!$X$38,R82,Q82)+S82,0)</f>
        <v>#VALUE!</v>
      </c>
      <c r="U82" s="117" t="e">
        <f aca="false">IF($C$11="Financial",L82+P82,L82+P82+T82)</f>
        <v>#VALUE!</v>
      </c>
      <c r="V82" s="114"/>
      <c r="W82" s="118" t="e">
        <f aca="false">VLOOKUP($B82,Model!$A$8:$S$289,19)</f>
        <v>#VALUE!</v>
      </c>
      <c r="X82" s="120" t="n">
        <f aca="false">X81</f>
        <v>0</v>
      </c>
      <c r="Y82" s="120" t="e">
        <f aca="false">W82+X82</f>
        <v>#VALUE!</v>
      </c>
      <c r="Z82" s="121" t="n">
        <f aca="false">Z81</f>
        <v>0</v>
      </c>
      <c r="AA82" s="121" t="e">
        <f aca="false">U82+Z82</f>
        <v>#VALUE!</v>
      </c>
      <c r="AB82" s="128" t="e">
        <f aca="false">EURO(U82,AA82,VLOOKUP($B82,Curve_Fetch,2),VLOOKUP($B82,Curve_Fetch,2),Y82,VLOOKUP($B82,Model!$A$8:$R$289,18),IF(Euro!$C$10="Call",1,0),0)</f>
        <v>#VALUE!</v>
      </c>
      <c r="AD82" s="123" t="e">
        <f aca="false">$G82*L82</f>
        <v>#VALUE!</v>
      </c>
      <c r="AE82" s="124" t="e">
        <f aca="false">$G82*P82</f>
        <v>#VALUE!</v>
      </c>
      <c r="AF82" s="124" t="e">
        <f aca="false">$G82*T82</f>
        <v>#VALUE!</v>
      </c>
      <c r="AG82" s="124" t="e">
        <f aca="false">$G82*U82</f>
        <v>#VALUE!</v>
      </c>
      <c r="AH82" s="124" t="e">
        <f aca="false">$G82*AA82</f>
        <v>#VALUE!</v>
      </c>
      <c r="AI82" s="125" t="e">
        <f aca="false">$F82*AB82</f>
        <v>#VALUE!</v>
      </c>
      <c r="AK82" s="0"/>
      <c r="AL82" s="0"/>
      <c r="AM82" s="0"/>
      <c r="AN82" s="0"/>
      <c r="AO82" s="0"/>
      <c r="AP82" s="0"/>
      <c r="AQ82" s="0"/>
      <c r="AR82" s="0"/>
    </row>
    <row r="83" customFormat="false" ht="12.75" hidden="false" customHeight="false" outlineLevel="0" collapsed="false">
      <c r="B83" s="108" t="e">
        <f aca="false">([1]!edate,B82,1)</f>
        <v>#VALUE!</v>
      </c>
      <c r="C83" s="109" t="e">
        <f aca="false">IF($C$11="Physical",B84+24,B84)</f>
        <v>#VALUE!</v>
      </c>
      <c r="D83" s="110" t="n">
        <v>0</v>
      </c>
      <c r="E83" s="111" t="e">
        <f aca="false">VLOOKUP($B83,Model!$A$8:$E$289,5)</f>
        <v>#VALUE!</v>
      </c>
      <c r="F83" s="111" t="e">
        <f aca="false">VLOOKUP($B83,Model!$A$8:$F$289,6)</f>
        <v>#VALUE!</v>
      </c>
      <c r="G83" s="127" t="e">
        <f aca="false">VLOOKUP($B83,Model!$A$8:$AO$289,41)</f>
        <v>#VALUE!</v>
      </c>
      <c r="I83" s="113" t="n">
        <v>0</v>
      </c>
      <c r="J83" s="114" t="e">
        <f aca="false">VLOOKUP($B83,Curve_Fetch,3)</f>
        <v>#VALUE!</v>
      </c>
      <c r="K83" s="121" t="n">
        <f aca="false">K82</f>
        <v>0</v>
      </c>
      <c r="L83" s="116" t="e">
        <f aca="false">IF(Control!$Y$26=Control!$X$27,J83,I83)+K83</f>
        <v>#VALUE!</v>
      </c>
      <c r="M83" s="113" t="n">
        <v>0</v>
      </c>
      <c r="N83" s="114" t="e">
        <f aca="false">VLOOKUP($B83,Curve_Fetch,VLOOKUP(Control!$AJ$10,Control!$AI$11:$AK$22,3))</f>
        <v>#VALUE!</v>
      </c>
      <c r="O83" s="121" t="n">
        <f aca="false">O82</f>
        <v>0</v>
      </c>
      <c r="P83" s="116" t="e">
        <f aca="false">IF(Control!$Y$31=Control!$X$32,N83,M83)+O83</f>
        <v>#VALUE!</v>
      </c>
      <c r="Q83" s="113" t="n">
        <v>0</v>
      </c>
      <c r="R83" s="114" t="e">
        <f aca="false">VLOOKUP($B83,Curve_Fetch,(VLOOKUP(Control!$AJ$10,Control!$AI$11:$AL$22,4)))</f>
        <v>#VALUE!</v>
      </c>
      <c r="S83" s="121" t="n">
        <f aca="false">S82</f>
        <v>0</v>
      </c>
      <c r="T83" s="116" t="e">
        <f aca="false">IF($C$11="Physical",IF(Control!$Y$37=Control!$X$38,R83,Q83)+S83,0)</f>
        <v>#VALUE!</v>
      </c>
      <c r="U83" s="117" t="e">
        <f aca="false">IF($C$11="Financial",L83+P83,L83+P83+T83)</f>
        <v>#VALUE!</v>
      </c>
      <c r="V83" s="114"/>
      <c r="W83" s="118" t="e">
        <f aca="false">VLOOKUP($B83,Model!$A$8:$S$289,19)</f>
        <v>#VALUE!</v>
      </c>
      <c r="X83" s="120" t="n">
        <f aca="false">X82</f>
        <v>0</v>
      </c>
      <c r="Y83" s="120" t="e">
        <f aca="false">W83+X83</f>
        <v>#VALUE!</v>
      </c>
      <c r="Z83" s="121" t="n">
        <f aca="false">Z82</f>
        <v>0</v>
      </c>
      <c r="AA83" s="121" t="e">
        <f aca="false">U83+Z83</f>
        <v>#VALUE!</v>
      </c>
      <c r="AB83" s="128" t="e">
        <f aca="false">EURO(U83,AA83,VLOOKUP($B83,Curve_Fetch,2),VLOOKUP($B83,Curve_Fetch,2),Y83,VLOOKUP($B83,Model!$A$8:$R$289,18),IF(Euro!$C$10="Call",1,0),0)</f>
        <v>#VALUE!</v>
      </c>
      <c r="AD83" s="123" t="e">
        <f aca="false">$G83*L83</f>
        <v>#VALUE!</v>
      </c>
      <c r="AE83" s="124" t="e">
        <f aca="false">$G83*P83</f>
        <v>#VALUE!</v>
      </c>
      <c r="AF83" s="124" t="e">
        <f aca="false">$G83*T83</f>
        <v>#VALUE!</v>
      </c>
      <c r="AG83" s="124" t="e">
        <f aca="false">$G83*U83</f>
        <v>#VALUE!</v>
      </c>
      <c r="AH83" s="124" t="e">
        <f aca="false">$G83*AA83</f>
        <v>#VALUE!</v>
      </c>
      <c r="AI83" s="125" t="e">
        <f aca="false">$F83*AB83</f>
        <v>#VALUE!</v>
      </c>
      <c r="AK83" s="0"/>
      <c r="AL83" s="0"/>
      <c r="AM83" s="0"/>
      <c r="AN83" s="0"/>
      <c r="AO83" s="0"/>
      <c r="AP83" s="0"/>
      <c r="AQ83" s="0"/>
      <c r="AR83" s="0"/>
    </row>
    <row r="84" customFormat="false" ht="12.75" hidden="false" customHeight="false" outlineLevel="0" collapsed="false">
      <c r="B84" s="108" t="e">
        <f aca="false">([1]!edate,B83,1)</f>
        <v>#VALUE!</v>
      </c>
      <c r="C84" s="109" t="e">
        <f aca="false">IF($C$11="Physical",B85+24,B85)</f>
        <v>#VALUE!</v>
      </c>
      <c r="D84" s="110" t="n">
        <v>0</v>
      </c>
      <c r="E84" s="111" t="e">
        <f aca="false">VLOOKUP($B84,Model!$A$8:$E$289,5)</f>
        <v>#VALUE!</v>
      </c>
      <c r="F84" s="111" t="e">
        <f aca="false">VLOOKUP($B84,Model!$A$8:$F$289,6)</f>
        <v>#VALUE!</v>
      </c>
      <c r="G84" s="127" t="e">
        <f aca="false">VLOOKUP($B84,Model!$A$8:$AO$289,41)</f>
        <v>#VALUE!</v>
      </c>
      <c r="I84" s="113" t="n">
        <v>0</v>
      </c>
      <c r="J84" s="114" t="e">
        <f aca="false">VLOOKUP($B84,Curve_Fetch,3)</f>
        <v>#VALUE!</v>
      </c>
      <c r="K84" s="121" t="n">
        <f aca="false">K83</f>
        <v>0</v>
      </c>
      <c r="L84" s="116" t="e">
        <f aca="false">IF(Control!$Y$26=Control!$X$27,J84,I84)+K84</f>
        <v>#VALUE!</v>
      </c>
      <c r="M84" s="113" t="n">
        <v>0</v>
      </c>
      <c r="N84" s="114" t="e">
        <f aca="false">VLOOKUP($B84,Curve_Fetch,VLOOKUP(Control!$AJ$10,Control!$AI$11:$AK$22,3))</f>
        <v>#VALUE!</v>
      </c>
      <c r="O84" s="121" t="n">
        <f aca="false">O83</f>
        <v>0</v>
      </c>
      <c r="P84" s="116" t="e">
        <f aca="false">IF(Control!$Y$31=Control!$X$32,N84,M84)+O84</f>
        <v>#VALUE!</v>
      </c>
      <c r="Q84" s="113" t="n">
        <v>0</v>
      </c>
      <c r="R84" s="114" t="e">
        <f aca="false">VLOOKUP($B84,Curve_Fetch,(VLOOKUP(Control!$AJ$10,Control!$AI$11:$AL$22,4)))</f>
        <v>#VALUE!</v>
      </c>
      <c r="S84" s="121" t="n">
        <f aca="false">S83</f>
        <v>0</v>
      </c>
      <c r="T84" s="116" t="e">
        <f aca="false">IF($C$11="Physical",IF(Control!$Y$37=Control!$X$38,R84,Q84)+S84,0)</f>
        <v>#VALUE!</v>
      </c>
      <c r="U84" s="117" t="e">
        <f aca="false">IF($C$11="Financial",L84+P84,L84+P84+T84)</f>
        <v>#VALUE!</v>
      </c>
      <c r="V84" s="114"/>
      <c r="W84" s="118" t="e">
        <f aca="false">VLOOKUP($B84,Model!$A$8:$S$289,19)</f>
        <v>#VALUE!</v>
      </c>
      <c r="X84" s="120" t="n">
        <f aca="false">X83</f>
        <v>0</v>
      </c>
      <c r="Y84" s="120" t="e">
        <f aca="false">W84+X84</f>
        <v>#VALUE!</v>
      </c>
      <c r="Z84" s="121" t="n">
        <f aca="false">Z83</f>
        <v>0</v>
      </c>
      <c r="AA84" s="121" t="e">
        <f aca="false">U84+Z84</f>
        <v>#VALUE!</v>
      </c>
      <c r="AB84" s="128" t="e">
        <f aca="false">EURO(U84,AA84,VLOOKUP($B84,Curve_Fetch,2),VLOOKUP($B84,Curve_Fetch,2),Y84,VLOOKUP($B84,Model!$A$8:$R$289,18),IF(Euro!$C$10="Call",1,0),0)</f>
        <v>#VALUE!</v>
      </c>
      <c r="AD84" s="123" t="e">
        <f aca="false">$G84*L84</f>
        <v>#VALUE!</v>
      </c>
      <c r="AE84" s="124" t="e">
        <f aca="false">$G84*P84</f>
        <v>#VALUE!</v>
      </c>
      <c r="AF84" s="124" t="e">
        <f aca="false">$G84*T84</f>
        <v>#VALUE!</v>
      </c>
      <c r="AG84" s="124" t="e">
        <f aca="false">$G84*U84</f>
        <v>#VALUE!</v>
      </c>
      <c r="AH84" s="124" t="e">
        <f aca="false">$G84*AA84</f>
        <v>#VALUE!</v>
      </c>
      <c r="AI84" s="125" t="e">
        <f aca="false">$F84*AB84</f>
        <v>#VALUE!</v>
      </c>
      <c r="AK84" s="0"/>
      <c r="AL84" s="0"/>
      <c r="AM84" s="0"/>
      <c r="AN84" s="0"/>
      <c r="AO84" s="0"/>
      <c r="AP84" s="0"/>
      <c r="AQ84" s="0"/>
      <c r="AR84" s="0"/>
    </row>
    <row r="85" customFormat="false" ht="12.75" hidden="false" customHeight="false" outlineLevel="0" collapsed="false">
      <c r="B85" s="108" t="e">
        <f aca="false">([1]!edate,B84,1)</f>
        <v>#VALUE!</v>
      </c>
      <c r="C85" s="109" t="e">
        <f aca="false">IF($C$11="Physical",B86+24,B86)</f>
        <v>#VALUE!</v>
      </c>
      <c r="D85" s="110" t="n">
        <v>0</v>
      </c>
      <c r="E85" s="111" t="e">
        <f aca="false">VLOOKUP($B85,Model!$A$8:$E$289,5)</f>
        <v>#VALUE!</v>
      </c>
      <c r="F85" s="111" t="e">
        <f aca="false">VLOOKUP($B85,Model!$A$8:$F$289,6)</f>
        <v>#VALUE!</v>
      </c>
      <c r="G85" s="127" t="e">
        <f aca="false">VLOOKUP($B85,Model!$A$8:$AO$289,41)</f>
        <v>#VALUE!</v>
      </c>
      <c r="I85" s="113" t="n">
        <v>0</v>
      </c>
      <c r="J85" s="114" t="e">
        <f aca="false">VLOOKUP($B85,Curve_Fetch,3)</f>
        <v>#VALUE!</v>
      </c>
      <c r="K85" s="121" t="n">
        <f aca="false">K84</f>
        <v>0</v>
      </c>
      <c r="L85" s="116" t="e">
        <f aca="false">IF(Control!$Y$26=Control!$X$27,J85,I85)+K85</f>
        <v>#VALUE!</v>
      </c>
      <c r="M85" s="113" t="n">
        <v>0</v>
      </c>
      <c r="N85" s="114" t="e">
        <f aca="false">VLOOKUP($B85,Curve_Fetch,VLOOKUP(Control!$AJ$10,Control!$AI$11:$AK$22,3))</f>
        <v>#VALUE!</v>
      </c>
      <c r="O85" s="121" t="n">
        <f aca="false">O84</f>
        <v>0</v>
      </c>
      <c r="P85" s="116" t="e">
        <f aca="false">IF(Control!$Y$31=Control!$X$32,N85,M85)+O85</f>
        <v>#VALUE!</v>
      </c>
      <c r="Q85" s="113" t="n">
        <v>0</v>
      </c>
      <c r="R85" s="114" t="e">
        <f aca="false">VLOOKUP($B85,Curve_Fetch,(VLOOKUP(Control!$AJ$10,Control!$AI$11:$AL$22,4)))</f>
        <v>#VALUE!</v>
      </c>
      <c r="S85" s="121" t="n">
        <f aca="false">S84</f>
        <v>0</v>
      </c>
      <c r="T85" s="116" t="e">
        <f aca="false">IF($C$11="Physical",IF(Control!$Y$37=Control!$X$38,R85,Q85)+S85,0)</f>
        <v>#VALUE!</v>
      </c>
      <c r="U85" s="117" t="e">
        <f aca="false">IF($C$11="Financial",L85+P85,L85+P85+T85)</f>
        <v>#VALUE!</v>
      </c>
      <c r="V85" s="114"/>
      <c r="W85" s="118" t="e">
        <f aca="false">VLOOKUP($B85,Model!$A$8:$S$289,19)</f>
        <v>#VALUE!</v>
      </c>
      <c r="X85" s="120" t="n">
        <f aca="false">X84</f>
        <v>0</v>
      </c>
      <c r="Y85" s="120" t="e">
        <f aca="false">W85+X85</f>
        <v>#VALUE!</v>
      </c>
      <c r="Z85" s="121" t="n">
        <f aca="false">Z84</f>
        <v>0</v>
      </c>
      <c r="AA85" s="121" t="e">
        <f aca="false">U85+Z85</f>
        <v>#VALUE!</v>
      </c>
      <c r="AB85" s="128" t="e">
        <f aca="false">EURO(U85,AA85,VLOOKUP($B85,Curve_Fetch,2),VLOOKUP($B85,Curve_Fetch,2),Y85,VLOOKUP($B85,Model!$A$8:$R$289,18),IF(Euro!$C$10="Call",1,0),0)</f>
        <v>#VALUE!</v>
      </c>
      <c r="AD85" s="123" t="e">
        <f aca="false">$G85*L85</f>
        <v>#VALUE!</v>
      </c>
      <c r="AE85" s="124" t="e">
        <f aca="false">$G85*P85</f>
        <v>#VALUE!</v>
      </c>
      <c r="AF85" s="124" t="e">
        <f aca="false">$G85*T85</f>
        <v>#VALUE!</v>
      </c>
      <c r="AG85" s="124" t="e">
        <f aca="false">$G85*U85</f>
        <v>#VALUE!</v>
      </c>
      <c r="AH85" s="124" t="e">
        <f aca="false">$G85*AA85</f>
        <v>#VALUE!</v>
      </c>
      <c r="AI85" s="125" t="e">
        <f aca="false">$F85*AB85</f>
        <v>#VALUE!</v>
      </c>
      <c r="AK85" s="0"/>
      <c r="AL85" s="0"/>
      <c r="AM85" s="0"/>
      <c r="AN85" s="0"/>
      <c r="AO85" s="0"/>
      <c r="AP85" s="0"/>
      <c r="AQ85" s="0"/>
      <c r="AR85" s="0"/>
    </row>
    <row r="86" customFormat="false" ht="12.75" hidden="false" customHeight="false" outlineLevel="0" collapsed="false">
      <c r="B86" s="108" t="e">
        <f aca="false">([1]!edate,B85,1)</f>
        <v>#VALUE!</v>
      </c>
      <c r="C86" s="109" t="e">
        <f aca="false">IF($C$11="Physical",B87+24,B87)</f>
        <v>#VALUE!</v>
      </c>
      <c r="D86" s="110" t="n">
        <v>0</v>
      </c>
      <c r="E86" s="111" t="e">
        <f aca="false">VLOOKUP($B86,Model!$A$8:$E$289,5)</f>
        <v>#VALUE!</v>
      </c>
      <c r="F86" s="111" t="e">
        <f aca="false">VLOOKUP($B86,Model!$A$8:$F$289,6)</f>
        <v>#VALUE!</v>
      </c>
      <c r="G86" s="127" t="e">
        <f aca="false">VLOOKUP($B86,Model!$A$8:$AO$289,41)</f>
        <v>#VALUE!</v>
      </c>
      <c r="I86" s="113" t="n">
        <v>0</v>
      </c>
      <c r="J86" s="114" t="e">
        <f aca="false">VLOOKUP($B86,Curve_Fetch,3)</f>
        <v>#VALUE!</v>
      </c>
      <c r="K86" s="121" t="n">
        <f aca="false">K85</f>
        <v>0</v>
      </c>
      <c r="L86" s="116" t="e">
        <f aca="false">IF(Control!$Y$26=Control!$X$27,J86,I86)+K86</f>
        <v>#VALUE!</v>
      </c>
      <c r="M86" s="113" t="n">
        <v>0</v>
      </c>
      <c r="N86" s="114" t="e">
        <f aca="false">VLOOKUP($B86,Curve_Fetch,VLOOKUP(Control!$AJ$10,Control!$AI$11:$AK$22,3))</f>
        <v>#VALUE!</v>
      </c>
      <c r="O86" s="121" t="n">
        <f aca="false">O85</f>
        <v>0</v>
      </c>
      <c r="P86" s="116" t="e">
        <f aca="false">IF(Control!$Y$31=Control!$X$32,N86,M86)+O86</f>
        <v>#VALUE!</v>
      </c>
      <c r="Q86" s="113" t="n">
        <v>0</v>
      </c>
      <c r="R86" s="114" t="e">
        <f aca="false">VLOOKUP($B86,Curve_Fetch,(VLOOKUP(Control!$AJ$10,Control!$AI$11:$AL$22,4)))</f>
        <v>#VALUE!</v>
      </c>
      <c r="S86" s="121" t="n">
        <f aca="false">S85</f>
        <v>0</v>
      </c>
      <c r="T86" s="116" t="e">
        <f aca="false">IF($C$11="Physical",IF(Control!$Y$37=Control!$X$38,R86,Q86)+S86,0)</f>
        <v>#VALUE!</v>
      </c>
      <c r="U86" s="117" t="e">
        <f aca="false">IF($C$11="Financial",L86+P86,L86+P86+T86)</f>
        <v>#VALUE!</v>
      </c>
      <c r="V86" s="114"/>
      <c r="W86" s="118" t="e">
        <f aca="false">VLOOKUP($B86,Model!$A$8:$S$289,19)</f>
        <v>#VALUE!</v>
      </c>
      <c r="X86" s="120" t="n">
        <f aca="false">X85</f>
        <v>0</v>
      </c>
      <c r="Y86" s="120" t="e">
        <f aca="false">W86+X86</f>
        <v>#VALUE!</v>
      </c>
      <c r="Z86" s="121" t="n">
        <f aca="false">Z85</f>
        <v>0</v>
      </c>
      <c r="AA86" s="121" t="e">
        <f aca="false">U86+Z86</f>
        <v>#VALUE!</v>
      </c>
      <c r="AB86" s="128" t="e">
        <f aca="false">EURO(U86,AA86,VLOOKUP($B86,Curve_Fetch,2),VLOOKUP($B86,Curve_Fetch,2),Y86,VLOOKUP($B86,Model!$A$8:$R$289,18),IF(Euro!$C$10="Call",1,0),0)</f>
        <v>#VALUE!</v>
      </c>
      <c r="AD86" s="123" t="e">
        <f aca="false">$G86*L86</f>
        <v>#VALUE!</v>
      </c>
      <c r="AE86" s="124" t="e">
        <f aca="false">$G86*P86</f>
        <v>#VALUE!</v>
      </c>
      <c r="AF86" s="124" t="e">
        <f aca="false">$G86*T86</f>
        <v>#VALUE!</v>
      </c>
      <c r="AG86" s="124" t="e">
        <f aca="false">$G86*U86</f>
        <v>#VALUE!</v>
      </c>
      <c r="AH86" s="124" t="e">
        <f aca="false">$G86*AA86</f>
        <v>#VALUE!</v>
      </c>
      <c r="AI86" s="125" t="e">
        <f aca="false">$F86*AB86</f>
        <v>#VALUE!</v>
      </c>
      <c r="AK86" s="0"/>
      <c r="AL86" s="0"/>
      <c r="AM86" s="0"/>
      <c r="AN86" s="0"/>
      <c r="AO86" s="0"/>
      <c r="AP86" s="0"/>
      <c r="AQ86" s="0"/>
      <c r="AR86" s="0"/>
    </row>
    <row r="87" customFormat="false" ht="12.75" hidden="false" customHeight="false" outlineLevel="0" collapsed="false">
      <c r="B87" s="108" t="e">
        <f aca="false">([1]!edate,B86,1)</f>
        <v>#VALUE!</v>
      </c>
      <c r="C87" s="109" t="e">
        <f aca="false">IF($C$11="Physical",B88+24,B88)</f>
        <v>#VALUE!</v>
      </c>
      <c r="D87" s="110" t="n">
        <v>0</v>
      </c>
      <c r="E87" s="111" t="e">
        <f aca="false">VLOOKUP($B87,Model!$A$8:$E$289,5)</f>
        <v>#VALUE!</v>
      </c>
      <c r="F87" s="111" t="e">
        <f aca="false">VLOOKUP($B87,Model!$A$8:$F$289,6)</f>
        <v>#VALUE!</v>
      </c>
      <c r="G87" s="127" t="e">
        <f aca="false">VLOOKUP($B87,Model!$A$8:$AO$289,41)</f>
        <v>#VALUE!</v>
      </c>
      <c r="I87" s="113" t="n">
        <v>0</v>
      </c>
      <c r="J87" s="114" t="e">
        <f aca="false">VLOOKUP($B87,Curve_Fetch,3)</f>
        <v>#VALUE!</v>
      </c>
      <c r="K87" s="121" t="n">
        <f aca="false">K86</f>
        <v>0</v>
      </c>
      <c r="L87" s="116" t="e">
        <f aca="false">IF(Control!$Y$26=Control!$X$27,J87,I87)+K87</f>
        <v>#VALUE!</v>
      </c>
      <c r="M87" s="113" t="n">
        <v>0</v>
      </c>
      <c r="N87" s="114" t="e">
        <f aca="false">VLOOKUP($B87,Curve_Fetch,VLOOKUP(Control!$AJ$10,Control!$AI$11:$AK$22,3))</f>
        <v>#VALUE!</v>
      </c>
      <c r="O87" s="121" t="n">
        <f aca="false">O86</f>
        <v>0</v>
      </c>
      <c r="P87" s="116" t="e">
        <f aca="false">IF(Control!$Y$31=Control!$X$32,N87,M87)+O87</f>
        <v>#VALUE!</v>
      </c>
      <c r="Q87" s="113" t="n">
        <v>0</v>
      </c>
      <c r="R87" s="114" t="e">
        <f aca="false">VLOOKUP($B87,Curve_Fetch,(VLOOKUP(Control!$AJ$10,Control!$AI$11:$AL$22,4)))</f>
        <v>#VALUE!</v>
      </c>
      <c r="S87" s="121" t="n">
        <f aca="false">S86</f>
        <v>0</v>
      </c>
      <c r="T87" s="116" t="e">
        <f aca="false">IF($C$11="Physical",IF(Control!$Y$37=Control!$X$38,R87,Q87)+S87,0)</f>
        <v>#VALUE!</v>
      </c>
      <c r="U87" s="117" t="e">
        <f aca="false">IF($C$11="Financial",L87+P87,L87+P87+T87)</f>
        <v>#VALUE!</v>
      </c>
      <c r="V87" s="114"/>
      <c r="W87" s="118" t="e">
        <f aca="false">VLOOKUP($B87,Model!$A$8:$S$289,19)</f>
        <v>#VALUE!</v>
      </c>
      <c r="X87" s="120" t="n">
        <f aca="false">X86</f>
        <v>0</v>
      </c>
      <c r="Y87" s="120" t="e">
        <f aca="false">W87+X87</f>
        <v>#VALUE!</v>
      </c>
      <c r="Z87" s="121" t="n">
        <f aca="false">Z86</f>
        <v>0</v>
      </c>
      <c r="AA87" s="121" t="e">
        <f aca="false">U87+Z87</f>
        <v>#VALUE!</v>
      </c>
      <c r="AB87" s="128" t="e">
        <f aca="false">EURO(U87,AA87,VLOOKUP($B87,Curve_Fetch,2),VLOOKUP($B87,Curve_Fetch,2),Y87,VLOOKUP($B87,Model!$A$8:$R$289,18),IF(Euro!$C$10="Call",1,0),0)</f>
        <v>#VALUE!</v>
      </c>
      <c r="AD87" s="123" t="e">
        <f aca="false">$G87*L87</f>
        <v>#VALUE!</v>
      </c>
      <c r="AE87" s="124" t="e">
        <f aca="false">$G87*P87</f>
        <v>#VALUE!</v>
      </c>
      <c r="AF87" s="124" t="e">
        <f aca="false">$G87*T87</f>
        <v>#VALUE!</v>
      </c>
      <c r="AG87" s="124" t="e">
        <f aca="false">$G87*U87</f>
        <v>#VALUE!</v>
      </c>
      <c r="AH87" s="124" t="e">
        <f aca="false">$G87*AA87</f>
        <v>#VALUE!</v>
      </c>
      <c r="AI87" s="125" t="e">
        <f aca="false">$F87*AB87</f>
        <v>#VALUE!</v>
      </c>
      <c r="AK87" s="0"/>
      <c r="AL87" s="0"/>
      <c r="AM87" s="0"/>
      <c r="AN87" s="0"/>
      <c r="AO87" s="0"/>
      <c r="AP87" s="0"/>
      <c r="AQ87" s="0"/>
      <c r="AR87" s="0"/>
    </row>
    <row r="88" customFormat="false" ht="12.75" hidden="false" customHeight="false" outlineLevel="0" collapsed="false">
      <c r="B88" s="108" t="e">
        <f aca="false">([1]!edate,B87,1)</f>
        <v>#VALUE!</v>
      </c>
      <c r="C88" s="109" t="e">
        <f aca="false">IF($C$11="Physical",B89+24,B89)</f>
        <v>#VALUE!</v>
      </c>
      <c r="D88" s="110" t="n">
        <v>0</v>
      </c>
      <c r="E88" s="111" t="e">
        <f aca="false">VLOOKUP($B88,Model!$A$8:$E$289,5)</f>
        <v>#VALUE!</v>
      </c>
      <c r="F88" s="111" t="e">
        <f aca="false">VLOOKUP($B88,Model!$A$8:$F$289,6)</f>
        <v>#VALUE!</v>
      </c>
      <c r="G88" s="127" t="e">
        <f aca="false">VLOOKUP($B88,Model!$A$8:$AO$289,41)</f>
        <v>#VALUE!</v>
      </c>
      <c r="I88" s="113" t="n">
        <v>0</v>
      </c>
      <c r="J88" s="114" t="e">
        <f aca="false">VLOOKUP($B88,Curve_Fetch,3)</f>
        <v>#VALUE!</v>
      </c>
      <c r="K88" s="121" t="n">
        <f aca="false">K87</f>
        <v>0</v>
      </c>
      <c r="L88" s="116" t="e">
        <f aca="false">IF(Control!$Y$26=Control!$X$27,J88,I88)+K88</f>
        <v>#VALUE!</v>
      </c>
      <c r="M88" s="113" t="n">
        <v>0</v>
      </c>
      <c r="N88" s="114" t="e">
        <f aca="false">VLOOKUP($B88,Curve_Fetch,VLOOKUP(Control!$AJ$10,Control!$AI$11:$AK$22,3))</f>
        <v>#VALUE!</v>
      </c>
      <c r="O88" s="121" t="n">
        <f aca="false">O87</f>
        <v>0</v>
      </c>
      <c r="P88" s="116" t="e">
        <f aca="false">IF(Control!$Y$31=Control!$X$32,N88,M88)+O88</f>
        <v>#VALUE!</v>
      </c>
      <c r="Q88" s="113" t="n">
        <v>0</v>
      </c>
      <c r="R88" s="114" t="e">
        <f aca="false">VLOOKUP($B88,Curve_Fetch,(VLOOKUP(Control!$AJ$10,Control!$AI$11:$AL$22,4)))</f>
        <v>#VALUE!</v>
      </c>
      <c r="S88" s="121" t="n">
        <f aca="false">S87</f>
        <v>0</v>
      </c>
      <c r="T88" s="116" t="e">
        <f aca="false">IF($C$11="Physical",IF(Control!$Y$37=Control!$X$38,R88,Q88)+S88,0)</f>
        <v>#VALUE!</v>
      </c>
      <c r="U88" s="117" t="e">
        <f aca="false">IF($C$11="Financial",L88+P88,L88+P88+T88)</f>
        <v>#VALUE!</v>
      </c>
      <c r="V88" s="114"/>
      <c r="W88" s="118" t="e">
        <f aca="false">VLOOKUP($B88,Model!$A$8:$S$289,19)</f>
        <v>#VALUE!</v>
      </c>
      <c r="X88" s="120" t="n">
        <f aca="false">X87</f>
        <v>0</v>
      </c>
      <c r="Y88" s="120" t="e">
        <f aca="false">W88+X88</f>
        <v>#VALUE!</v>
      </c>
      <c r="Z88" s="121" t="n">
        <f aca="false">Z87</f>
        <v>0</v>
      </c>
      <c r="AA88" s="121" t="e">
        <f aca="false">U88+Z88</f>
        <v>#VALUE!</v>
      </c>
      <c r="AB88" s="128" t="e">
        <f aca="false">EURO(U88,AA88,VLOOKUP($B88,Curve_Fetch,2),VLOOKUP($B88,Curve_Fetch,2),Y88,VLOOKUP($B88,Model!$A$8:$R$289,18),IF(Euro!$C$10="Call",1,0),0)</f>
        <v>#VALUE!</v>
      </c>
      <c r="AD88" s="123" t="e">
        <f aca="false">$G88*L88</f>
        <v>#VALUE!</v>
      </c>
      <c r="AE88" s="124" t="e">
        <f aca="false">$G88*P88</f>
        <v>#VALUE!</v>
      </c>
      <c r="AF88" s="124" t="e">
        <f aca="false">$G88*T88</f>
        <v>#VALUE!</v>
      </c>
      <c r="AG88" s="124" t="e">
        <f aca="false">$G88*U88</f>
        <v>#VALUE!</v>
      </c>
      <c r="AH88" s="124" t="e">
        <f aca="false">$G88*AA88</f>
        <v>#VALUE!</v>
      </c>
      <c r="AI88" s="125" t="e">
        <f aca="false">$F88*AB88</f>
        <v>#VALUE!</v>
      </c>
      <c r="AK88" s="0"/>
      <c r="AL88" s="0"/>
      <c r="AM88" s="0"/>
      <c r="AN88" s="0"/>
      <c r="AO88" s="0"/>
      <c r="AP88" s="0"/>
      <c r="AQ88" s="0"/>
      <c r="AR88" s="0"/>
    </row>
    <row r="89" customFormat="false" ht="12.75" hidden="false" customHeight="false" outlineLevel="0" collapsed="false">
      <c r="B89" s="108" t="e">
        <f aca="false">([1]!edate,B88,1)</f>
        <v>#VALUE!</v>
      </c>
      <c r="C89" s="109" t="e">
        <f aca="false">IF($C$11="Physical",B90+24,B90)</f>
        <v>#VALUE!</v>
      </c>
      <c r="D89" s="110" t="n">
        <v>0</v>
      </c>
      <c r="E89" s="111" t="e">
        <f aca="false">VLOOKUP($B89,Model!$A$8:$E$289,5)</f>
        <v>#VALUE!</v>
      </c>
      <c r="F89" s="111" t="e">
        <f aca="false">VLOOKUP($B89,Model!$A$8:$F$289,6)</f>
        <v>#VALUE!</v>
      </c>
      <c r="G89" s="127" t="e">
        <f aca="false">VLOOKUP($B89,Model!$A$8:$AO$289,41)</f>
        <v>#VALUE!</v>
      </c>
      <c r="I89" s="113" t="n">
        <v>0</v>
      </c>
      <c r="J89" s="114" t="e">
        <f aca="false">VLOOKUP($B89,Curve_Fetch,3)</f>
        <v>#VALUE!</v>
      </c>
      <c r="K89" s="121" t="n">
        <f aca="false">K88</f>
        <v>0</v>
      </c>
      <c r="L89" s="116" t="e">
        <f aca="false">IF(Control!$Y$26=Control!$X$27,J89,I89)+K89</f>
        <v>#VALUE!</v>
      </c>
      <c r="M89" s="113" t="n">
        <v>0</v>
      </c>
      <c r="N89" s="114" t="e">
        <f aca="false">VLOOKUP($B89,Curve_Fetch,VLOOKUP(Control!$AJ$10,Control!$AI$11:$AK$22,3))</f>
        <v>#VALUE!</v>
      </c>
      <c r="O89" s="121" t="n">
        <f aca="false">O88</f>
        <v>0</v>
      </c>
      <c r="P89" s="116" t="e">
        <f aca="false">IF(Control!$Y$31=Control!$X$32,N89,M89)+O89</f>
        <v>#VALUE!</v>
      </c>
      <c r="Q89" s="113" t="n">
        <v>0</v>
      </c>
      <c r="R89" s="114" t="e">
        <f aca="false">VLOOKUP($B89,Curve_Fetch,(VLOOKUP(Control!$AJ$10,Control!$AI$11:$AL$22,4)))</f>
        <v>#VALUE!</v>
      </c>
      <c r="S89" s="121" t="n">
        <f aca="false">S88</f>
        <v>0</v>
      </c>
      <c r="T89" s="116" t="e">
        <f aca="false">IF($C$11="Physical",IF(Control!$Y$37=Control!$X$38,R89,Q89)+S89,0)</f>
        <v>#VALUE!</v>
      </c>
      <c r="U89" s="117" t="e">
        <f aca="false">IF($C$11="Financial",L89+P89,L89+P89+T89)</f>
        <v>#VALUE!</v>
      </c>
      <c r="V89" s="114"/>
      <c r="W89" s="118" t="e">
        <f aca="false">VLOOKUP($B89,Model!$A$8:$S$289,19)</f>
        <v>#VALUE!</v>
      </c>
      <c r="X89" s="120" t="n">
        <f aca="false">X88</f>
        <v>0</v>
      </c>
      <c r="Y89" s="120" t="e">
        <f aca="false">W89+X89</f>
        <v>#VALUE!</v>
      </c>
      <c r="Z89" s="121" t="n">
        <f aca="false">Z88</f>
        <v>0</v>
      </c>
      <c r="AA89" s="121" t="e">
        <f aca="false">U89+Z89</f>
        <v>#VALUE!</v>
      </c>
      <c r="AB89" s="128" t="e">
        <f aca="false">EURO(U89,AA89,VLOOKUP($B89,Curve_Fetch,2),VLOOKUP($B89,Curve_Fetch,2),Y89,VLOOKUP($B89,Model!$A$8:$R$289,18),IF(Euro!$C$10="Call",1,0),0)</f>
        <v>#VALUE!</v>
      </c>
      <c r="AD89" s="123" t="e">
        <f aca="false">$G89*L89</f>
        <v>#VALUE!</v>
      </c>
      <c r="AE89" s="124" t="e">
        <f aca="false">$G89*P89</f>
        <v>#VALUE!</v>
      </c>
      <c r="AF89" s="124" t="e">
        <f aca="false">$G89*T89</f>
        <v>#VALUE!</v>
      </c>
      <c r="AG89" s="124" t="e">
        <f aca="false">$G89*U89</f>
        <v>#VALUE!</v>
      </c>
      <c r="AH89" s="124" t="e">
        <f aca="false">$G89*AA89</f>
        <v>#VALUE!</v>
      </c>
      <c r="AI89" s="125" t="e">
        <f aca="false">$F89*AB89</f>
        <v>#VALUE!</v>
      </c>
      <c r="AK89" s="0"/>
      <c r="AL89" s="0"/>
      <c r="AM89" s="0"/>
      <c r="AN89" s="0"/>
      <c r="AO89" s="0"/>
      <c r="AP89" s="0"/>
      <c r="AQ89" s="0"/>
      <c r="AR89" s="0"/>
    </row>
    <row r="90" customFormat="false" ht="12.75" hidden="false" customHeight="false" outlineLevel="0" collapsed="false">
      <c r="B90" s="108" t="e">
        <f aca="false">([1]!edate,B89,1)</f>
        <v>#VALUE!</v>
      </c>
      <c r="C90" s="109" t="e">
        <f aca="false">IF($C$11="Physical",B91+24,B91)</f>
        <v>#VALUE!</v>
      </c>
      <c r="D90" s="110" t="n">
        <v>0</v>
      </c>
      <c r="E90" s="111" t="e">
        <f aca="false">VLOOKUP($B90,Model!$A$8:$E$289,5)</f>
        <v>#VALUE!</v>
      </c>
      <c r="F90" s="111" t="e">
        <f aca="false">VLOOKUP($B90,Model!$A$8:$F$289,6)</f>
        <v>#VALUE!</v>
      </c>
      <c r="G90" s="127" t="e">
        <f aca="false">VLOOKUP($B90,Model!$A$8:$AO$289,41)</f>
        <v>#VALUE!</v>
      </c>
      <c r="I90" s="113" t="n">
        <v>0</v>
      </c>
      <c r="J90" s="114" t="e">
        <f aca="false">VLOOKUP($B90,Curve_Fetch,3)</f>
        <v>#VALUE!</v>
      </c>
      <c r="K90" s="121" t="n">
        <f aca="false">K89</f>
        <v>0</v>
      </c>
      <c r="L90" s="116" t="e">
        <f aca="false">IF(Control!$Y$26=Control!$X$27,J90,I90)+K90</f>
        <v>#VALUE!</v>
      </c>
      <c r="M90" s="113" t="n">
        <v>0</v>
      </c>
      <c r="N90" s="114" t="e">
        <f aca="false">VLOOKUP($B90,Curve_Fetch,VLOOKUP(Control!$AJ$10,Control!$AI$11:$AK$22,3))</f>
        <v>#VALUE!</v>
      </c>
      <c r="O90" s="121" t="n">
        <f aca="false">O89</f>
        <v>0</v>
      </c>
      <c r="P90" s="116" t="e">
        <f aca="false">IF(Control!$Y$31=Control!$X$32,N90,M90)+O90</f>
        <v>#VALUE!</v>
      </c>
      <c r="Q90" s="113" t="n">
        <v>0</v>
      </c>
      <c r="R90" s="114" t="e">
        <f aca="false">VLOOKUP($B90,Curve_Fetch,(VLOOKUP(Control!$AJ$10,Control!$AI$11:$AL$22,4)))</f>
        <v>#VALUE!</v>
      </c>
      <c r="S90" s="121" t="n">
        <f aca="false">S89</f>
        <v>0</v>
      </c>
      <c r="T90" s="116" t="e">
        <f aca="false">IF($C$11="Physical",IF(Control!$Y$37=Control!$X$38,R90,Q90)+S90,0)</f>
        <v>#VALUE!</v>
      </c>
      <c r="U90" s="117" t="e">
        <f aca="false">IF($C$11="Financial",L90+P90,L90+P90+T90)</f>
        <v>#VALUE!</v>
      </c>
      <c r="V90" s="114"/>
      <c r="W90" s="118" t="e">
        <f aca="false">VLOOKUP($B90,Model!$A$8:$S$289,19)</f>
        <v>#VALUE!</v>
      </c>
      <c r="X90" s="120" t="n">
        <f aca="false">X89</f>
        <v>0</v>
      </c>
      <c r="Y90" s="120" t="e">
        <f aca="false">W90+X90</f>
        <v>#VALUE!</v>
      </c>
      <c r="Z90" s="121" t="n">
        <f aca="false">Z89</f>
        <v>0</v>
      </c>
      <c r="AA90" s="121" t="e">
        <f aca="false">U90+Z90</f>
        <v>#VALUE!</v>
      </c>
      <c r="AB90" s="128" t="e">
        <f aca="false">EURO(U90,AA90,VLOOKUP($B90,Curve_Fetch,2),VLOOKUP($B90,Curve_Fetch,2),Y90,VLOOKUP($B90,Model!$A$8:$R$289,18),IF(Euro!$C$10="Call",1,0),0)</f>
        <v>#VALUE!</v>
      </c>
      <c r="AD90" s="123" t="e">
        <f aca="false">$G90*L90</f>
        <v>#VALUE!</v>
      </c>
      <c r="AE90" s="124" t="e">
        <f aca="false">$G90*P90</f>
        <v>#VALUE!</v>
      </c>
      <c r="AF90" s="124" t="e">
        <f aca="false">$G90*T90</f>
        <v>#VALUE!</v>
      </c>
      <c r="AG90" s="124" t="e">
        <f aca="false">$G90*U90</f>
        <v>#VALUE!</v>
      </c>
      <c r="AH90" s="124" t="e">
        <f aca="false">$G90*AA90</f>
        <v>#VALUE!</v>
      </c>
      <c r="AI90" s="125" t="e">
        <f aca="false">$F90*AB90</f>
        <v>#VALUE!</v>
      </c>
      <c r="AK90" s="0"/>
      <c r="AL90" s="0"/>
      <c r="AM90" s="0"/>
      <c r="AN90" s="0"/>
      <c r="AO90" s="0"/>
      <c r="AP90" s="0"/>
      <c r="AQ90" s="0"/>
      <c r="AR90" s="0"/>
    </row>
    <row r="91" customFormat="false" ht="12.75" hidden="false" customHeight="false" outlineLevel="0" collapsed="false">
      <c r="B91" s="108" t="e">
        <f aca="false">([1]!edate,B90,1)</f>
        <v>#VALUE!</v>
      </c>
      <c r="C91" s="109" t="e">
        <f aca="false">IF($C$11="Physical",B92+24,B92)</f>
        <v>#VALUE!</v>
      </c>
      <c r="D91" s="110" t="n">
        <v>0</v>
      </c>
      <c r="E91" s="111" t="e">
        <f aca="false">VLOOKUP($B91,Model!$A$8:$E$289,5)</f>
        <v>#VALUE!</v>
      </c>
      <c r="F91" s="111" t="e">
        <f aca="false">VLOOKUP($B91,Model!$A$8:$F$289,6)</f>
        <v>#VALUE!</v>
      </c>
      <c r="G91" s="127" t="e">
        <f aca="false">VLOOKUP($B91,Model!$A$8:$AO$289,41)</f>
        <v>#VALUE!</v>
      </c>
      <c r="I91" s="113" t="n">
        <v>0</v>
      </c>
      <c r="J91" s="114" t="e">
        <f aca="false">VLOOKUP($B91,Curve_Fetch,3)</f>
        <v>#VALUE!</v>
      </c>
      <c r="K91" s="121" t="n">
        <f aca="false">K90</f>
        <v>0</v>
      </c>
      <c r="L91" s="116" t="e">
        <f aca="false">IF(Control!$Y$26=Control!$X$27,J91,I91)+K91</f>
        <v>#VALUE!</v>
      </c>
      <c r="M91" s="113" t="n">
        <v>0</v>
      </c>
      <c r="N91" s="114" t="e">
        <f aca="false">VLOOKUP($B91,Curve_Fetch,VLOOKUP(Control!$AJ$10,Control!$AI$11:$AK$22,3))</f>
        <v>#VALUE!</v>
      </c>
      <c r="O91" s="121" t="n">
        <f aca="false">O90</f>
        <v>0</v>
      </c>
      <c r="P91" s="116" t="e">
        <f aca="false">IF(Control!$Y$31=Control!$X$32,N91,M91)+O91</f>
        <v>#VALUE!</v>
      </c>
      <c r="Q91" s="113" t="n">
        <v>0</v>
      </c>
      <c r="R91" s="114" t="e">
        <f aca="false">VLOOKUP($B91,Curve_Fetch,(VLOOKUP(Control!$AJ$10,Control!$AI$11:$AL$22,4)))</f>
        <v>#VALUE!</v>
      </c>
      <c r="S91" s="121" t="n">
        <f aca="false">S90</f>
        <v>0</v>
      </c>
      <c r="T91" s="116" t="e">
        <f aca="false">IF($C$11="Physical",IF(Control!$Y$37=Control!$X$38,R91,Q91)+S91,0)</f>
        <v>#VALUE!</v>
      </c>
      <c r="U91" s="117" t="e">
        <f aca="false">IF($C$11="Financial",L91+P91,L91+P91+T91)</f>
        <v>#VALUE!</v>
      </c>
      <c r="V91" s="114"/>
      <c r="W91" s="118" t="e">
        <f aca="false">VLOOKUP($B91,Model!$A$8:$S$289,19)</f>
        <v>#VALUE!</v>
      </c>
      <c r="X91" s="120" t="n">
        <f aca="false">X90</f>
        <v>0</v>
      </c>
      <c r="Y91" s="120" t="e">
        <f aca="false">W91+X91</f>
        <v>#VALUE!</v>
      </c>
      <c r="Z91" s="121" t="n">
        <f aca="false">Z90</f>
        <v>0</v>
      </c>
      <c r="AA91" s="121" t="e">
        <f aca="false">U91+Z91</f>
        <v>#VALUE!</v>
      </c>
      <c r="AB91" s="128" t="e">
        <f aca="false">EURO(U91,AA91,VLOOKUP($B91,Curve_Fetch,2),VLOOKUP($B91,Curve_Fetch,2),Y91,VLOOKUP($B91,Model!$A$8:$R$289,18),IF(Euro!$C$10="Call",1,0),0)</f>
        <v>#VALUE!</v>
      </c>
      <c r="AD91" s="123" t="e">
        <f aca="false">$G91*L91</f>
        <v>#VALUE!</v>
      </c>
      <c r="AE91" s="124" t="e">
        <f aca="false">$G91*P91</f>
        <v>#VALUE!</v>
      </c>
      <c r="AF91" s="124" t="e">
        <f aca="false">$G91*T91</f>
        <v>#VALUE!</v>
      </c>
      <c r="AG91" s="124" t="e">
        <f aca="false">$G91*U91</f>
        <v>#VALUE!</v>
      </c>
      <c r="AH91" s="124" t="e">
        <f aca="false">$G91*AA91</f>
        <v>#VALUE!</v>
      </c>
      <c r="AI91" s="125" t="e">
        <f aca="false">$F91*AB91</f>
        <v>#VALUE!</v>
      </c>
      <c r="AK91" s="0"/>
      <c r="AL91" s="0"/>
      <c r="AM91" s="0"/>
      <c r="AN91" s="0"/>
      <c r="AO91" s="0"/>
      <c r="AP91" s="0"/>
      <c r="AQ91" s="0"/>
      <c r="AR91" s="0"/>
    </row>
    <row r="92" customFormat="false" ht="12.75" hidden="false" customHeight="false" outlineLevel="0" collapsed="false">
      <c r="B92" s="108" t="e">
        <f aca="false">([1]!edate,B91,1)</f>
        <v>#VALUE!</v>
      </c>
      <c r="C92" s="109" t="e">
        <f aca="false">IF($C$11="Physical",B93+24,B93)</f>
        <v>#VALUE!</v>
      </c>
      <c r="D92" s="110" t="n">
        <v>0</v>
      </c>
      <c r="E92" s="111" t="e">
        <f aca="false">VLOOKUP($B92,Model!$A$8:$E$289,5)</f>
        <v>#VALUE!</v>
      </c>
      <c r="F92" s="111" t="e">
        <f aca="false">VLOOKUP($B92,Model!$A$8:$F$289,6)</f>
        <v>#VALUE!</v>
      </c>
      <c r="G92" s="127" t="e">
        <f aca="false">VLOOKUP($B92,Model!$A$8:$AO$289,41)</f>
        <v>#VALUE!</v>
      </c>
      <c r="I92" s="113" t="n">
        <v>0</v>
      </c>
      <c r="J92" s="114" t="e">
        <f aca="false">VLOOKUP($B92,Curve_Fetch,3)</f>
        <v>#VALUE!</v>
      </c>
      <c r="K92" s="121" t="n">
        <f aca="false">K91</f>
        <v>0</v>
      </c>
      <c r="L92" s="116" t="e">
        <f aca="false">IF(Control!$Y$26=Control!$X$27,J92,I92)+K92</f>
        <v>#VALUE!</v>
      </c>
      <c r="M92" s="113" t="n">
        <v>0</v>
      </c>
      <c r="N92" s="114" t="e">
        <f aca="false">VLOOKUP($B92,Curve_Fetch,VLOOKUP(Control!$AJ$10,Control!$AI$11:$AK$22,3))</f>
        <v>#VALUE!</v>
      </c>
      <c r="O92" s="121" t="n">
        <f aca="false">O91</f>
        <v>0</v>
      </c>
      <c r="P92" s="116" t="e">
        <f aca="false">IF(Control!$Y$31=Control!$X$32,N92,M92)+O92</f>
        <v>#VALUE!</v>
      </c>
      <c r="Q92" s="113" t="n">
        <v>0</v>
      </c>
      <c r="R92" s="114" t="e">
        <f aca="false">VLOOKUP($B92,Curve_Fetch,(VLOOKUP(Control!$AJ$10,Control!$AI$11:$AL$22,4)))</f>
        <v>#VALUE!</v>
      </c>
      <c r="S92" s="121" t="n">
        <f aca="false">S91</f>
        <v>0</v>
      </c>
      <c r="T92" s="116" t="e">
        <f aca="false">IF($C$11="Physical",IF(Control!$Y$37=Control!$X$38,R92,Q92)+S92,0)</f>
        <v>#VALUE!</v>
      </c>
      <c r="U92" s="117" t="e">
        <f aca="false">IF($C$11="Financial",L92+P92,L92+P92+T92)</f>
        <v>#VALUE!</v>
      </c>
      <c r="V92" s="114"/>
      <c r="W92" s="118" t="e">
        <f aca="false">VLOOKUP($B92,Model!$A$8:$S$289,19)</f>
        <v>#VALUE!</v>
      </c>
      <c r="X92" s="120" t="n">
        <f aca="false">X91</f>
        <v>0</v>
      </c>
      <c r="Y92" s="120" t="e">
        <f aca="false">W92+X92</f>
        <v>#VALUE!</v>
      </c>
      <c r="Z92" s="121" t="n">
        <f aca="false">Z91</f>
        <v>0</v>
      </c>
      <c r="AA92" s="121" t="e">
        <f aca="false">U92+Z92</f>
        <v>#VALUE!</v>
      </c>
      <c r="AB92" s="128" t="e">
        <f aca="false">EURO(U92,AA92,VLOOKUP($B92,Curve_Fetch,2),VLOOKUP($B92,Curve_Fetch,2),Y92,VLOOKUP($B92,Model!$A$8:$R$289,18),IF(Euro!$C$10="Call",1,0),0)</f>
        <v>#VALUE!</v>
      </c>
      <c r="AD92" s="123" t="e">
        <f aca="false">$G92*L92</f>
        <v>#VALUE!</v>
      </c>
      <c r="AE92" s="124" t="e">
        <f aca="false">$G92*P92</f>
        <v>#VALUE!</v>
      </c>
      <c r="AF92" s="124" t="e">
        <f aca="false">$G92*T92</f>
        <v>#VALUE!</v>
      </c>
      <c r="AG92" s="124" t="e">
        <f aca="false">$G92*U92</f>
        <v>#VALUE!</v>
      </c>
      <c r="AH92" s="124" t="e">
        <f aca="false">$G92*AA92</f>
        <v>#VALUE!</v>
      </c>
      <c r="AI92" s="125" t="e">
        <f aca="false">$F92*AB92</f>
        <v>#VALUE!</v>
      </c>
      <c r="AK92" s="0"/>
      <c r="AL92" s="0"/>
      <c r="AM92" s="0"/>
      <c r="AN92" s="0"/>
      <c r="AO92" s="0"/>
      <c r="AP92" s="0"/>
      <c r="AQ92" s="0"/>
      <c r="AR92" s="0"/>
    </row>
    <row r="93" customFormat="false" ht="12.75" hidden="false" customHeight="false" outlineLevel="0" collapsed="false">
      <c r="B93" s="108" t="e">
        <f aca="false">([1]!edate,B92,1)</f>
        <v>#VALUE!</v>
      </c>
      <c r="C93" s="109" t="e">
        <f aca="false">IF($C$11="Physical",B94+24,B94)</f>
        <v>#VALUE!</v>
      </c>
      <c r="D93" s="110" t="n">
        <v>0</v>
      </c>
      <c r="E93" s="111" t="e">
        <f aca="false">VLOOKUP($B93,Model!$A$8:$E$289,5)</f>
        <v>#VALUE!</v>
      </c>
      <c r="F93" s="111" t="e">
        <f aca="false">VLOOKUP($B93,Model!$A$8:$F$289,6)</f>
        <v>#VALUE!</v>
      </c>
      <c r="G93" s="127" t="e">
        <f aca="false">VLOOKUP($B93,Model!$A$8:$AO$289,41)</f>
        <v>#VALUE!</v>
      </c>
      <c r="I93" s="113" t="n">
        <v>0</v>
      </c>
      <c r="J93" s="114" t="e">
        <f aca="false">VLOOKUP($B93,Curve_Fetch,3)</f>
        <v>#VALUE!</v>
      </c>
      <c r="K93" s="121" t="n">
        <f aca="false">K92</f>
        <v>0</v>
      </c>
      <c r="L93" s="116" t="e">
        <f aca="false">IF(Control!$Y$26=Control!$X$27,J93,I93)+K93</f>
        <v>#VALUE!</v>
      </c>
      <c r="M93" s="113" t="n">
        <v>0</v>
      </c>
      <c r="N93" s="114" t="e">
        <f aca="false">VLOOKUP($B93,Curve_Fetch,VLOOKUP(Control!$AJ$10,Control!$AI$11:$AK$22,3))</f>
        <v>#VALUE!</v>
      </c>
      <c r="O93" s="121" t="n">
        <f aca="false">O92</f>
        <v>0</v>
      </c>
      <c r="P93" s="116" t="e">
        <f aca="false">IF(Control!$Y$31=Control!$X$32,N93,M93)+O93</f>
        <v>#VALUE!</v>
      </c>
      <c r="Q93" s="113" t="n">
        <v>0</v>
      </c>
      <c r="R93" s="114" t="e">
        <f aca="false">VLOOKUP($B93,Curve_Fetch,(VLOOKUP(Control!$AJ$10,Control!$AI$11:$AL$22,4)))</f>
        <v>#VALUE!</v>
      </c>
      <c r="S93" s="121" t="n">
        <f aca="false">S92</f>
        <v>0</v>
      </c>
      <c r="T93" s="116" t="e">
        <f aca="false">IF($C$11="Physical",IF(Control!$Y$37=Control!$X$38,R93,Q93)+S93,0)</f>
        <v>#VALUE!</v>
      </c>
      <c r="U93" s="117" t="e">
        <f aca="false">IF($C$11="Financial",L93+P93,L93+P93+T93)</f>
        <v>#VALUE!</v>
      </c>
      <c r="V93" s="114"/>
      <c r="W93" s="118" t="e">
        <f aca="false">VLOOKUP($B93,Model!$A$8:$S$289,19)</f>
        <v>#VALUE!</v>
      </c>
      <c r="X93" s="120" t="n">
        <f aca="false">X92</f>
        <v>0</v>
      </c>
      <c r="Y93" s="120" t="e">
        <f aca="false">W93+X93</f>
        <v>#VALUE!</v>
      </c>
      <c r="Z93" s="121" t="n">
        <f aca="false">Z92</f>
        <v>0</v>
      </c>
      <c r="AA93" s="121" t="e">
        <f aca="false">U93+Z93</f>
        <v>#VALUE!</v>
      </c>
      <c r="AB93" s="128" t="e">
        <f aca="false">EURO(U93,AA93,VLOOKUP($B93,Curve_Fetch,2),VLOOKUP($B93,Curve_Fetch,2),Y93,VLOOKUP($B93,Model!$A$8:$R$289,18),IF(Euro!$C$10="Call",1,0),0)</f>
        <v>#VALUE!</v>
      </c>
      <c r="AD93" s="123" t="e">
        <f aca="false">$G93*L93</f>
        <v>#VALUE!</v>
      </c>
      <c r="AE93" s="124" t="e">
        <f aca="false">$G93*P93</f>
        <v>#VALUE!</v>
      </c>
      <c r="AF93" s="124" t="e">
        <f aca="false">$G93*T93</f>
        <v>#VALUE!</v>
      </c>
      <c r="AG93" s="124" t="e">
        <f aca="false">$G93*U93</f>
        <v>#VALUE!</v>
      </c>
      <c r="AH93" s="124" t="e">
        <f aca="false">$G93*AA93</f>
        <v>#VALUE!</v>
      </c>
      <c r="AI93" s="125" t="e">
        <f aca="false">$F93*AB93</f>
        <v>#VALUE!</v>
      </c>
      <c r="AK93" s="0"/>
      <c r="AL93" s="0"/>
      <c r="AM93" s="0"/>
      <c r="AN93" s="0"/>
      <c r="AO93" s="0"/>
      <c r="AP93" s="0"/>
      <c r="AQ93" s="0"/>
      <c r="AR93" s="0"/>
    </row>
    <row r="94" customFormat="false" ht="12.75" hidden="false" customHeight="false" outlineLevel="0" collapsed="false">
      <c r="B94" s="108" t="e">
        <f aca="false">([1]!edate,B93,1)</f>
        <v>#VALUE!</v>
      </c>
      <c r="C94" s="109" t="e">
        <f aca="false">IF($C$11="Physical",B95+24,B95)</f>
        <v>#VALUE!</v>
      </c>
      <c r="D94" s="110" t="n">
        <v>0</v>
      </c>
      <c r="E94" s="111" t="e">
        <f aca="false">VLOOKUP($B94,Model!$A$8:$E$289,5)</f>
        <v>#VALUE!</v>
      </c>
      <c r="F94" s="111" t="e">
        <f aca="false">VLOOKUP($B94,Model!$A$8:$F$289,6)</f>
        <v>#VALUE!</v>
      </c>
      <c r="G94" s="127" t="e">
        <f aca="false">VLOOKUP($B94,Model!$A$8:$AO$289,41)</f>
        <v>#VALUE!</v>
      </c>
      <c r="I94" s="113" t="n">
        <v>0</v>
      </c>
      <c r="J94" s="114" t="e">
        <f aca="false">VLOOKUP($B94,Curve_Fetch,3)</f>
        <v>#VALUE!</v>
      </c>
      <c r="K94" s="121" t="n">
        <f aca="false">K93</f>
        <v>0</v>
      </c>
      <c r="L94" s="116" t="e">
        <f aca="false">IF(Control!$Y$26=Control!$X$27,J94,I94)+K94</f>
        <v>#VALUE!</v>
      </c>
      <c r="M94" s="113" t="n">
        <v>0</v>
      </c>
      <c r="N94" s="114" t="e">
        <f aca="false">VLOOKUP($B94,Curve_Fetch,VLOOKUP(Control!$AJ$10,Control!$AI$11:$AK$22,3))</f>
        <v>#VALUE!</v>
      </c>
      <c r="O94" s="121" t="n">
        <f aca="false">O93</f>
        <v>0</v>
      </c>
      <c r="P94" s="116" t="e">
        <f aca="false">IF(Control!$Y$31=Control!$X$32,N94,M94)+O94</f>
        <v>#VALUE!</v>
      </c>
      <c r="Q94" s="113" t="n">
        <v>0</v>
      </c>
      <c r="R94" s="114" t="e">
        <f aca="false">VLOOKUP($B94,Curve_Fetch,(VLOOKUP(Control!$AJ$10,Control!$AI$11:$AL$22,4)))</f>
        <v>#VALUE!</v>
      </c>
      <c r="S94" s="121" t="n">
        <f aca="false">S93</f>
        <v>0</v>
      </c>
      <c r="T94" s="116" t="e">
        <f aca="false">IF($C$11="Physical",IF(Control!$Y$37=Control!$X$38,R94,Q94)+S94,0)</f>
        <v>#VALUE!</v>
      </c>
      <c r="U94" s="117" t="e">
        <f aca="false">IF($C$11="Financial",L94+P94,L94+P94+T94)</f>
        <v>#VALUE!</v>
      </c>
      <c r="V94" s="114"/>
      <c r="W94" s="118" t="e">
        <f aca="false">VLOOKUP($B94,Model!$A$8:$S$289,19)</f>
        <v>#VALUE!</v>
      </c>
      <c r="X94" s="120" t="n">
        <f aca="false">X93</f>
        <v>0</v>
      </c>
      <c r="Y94" s="120" t="e">
        <f aca="false">W94+X94</f>
        <v>#VALUE!</v>
      </c>
      <c r="Z94" s="121" t="n">
        <f aca="false">Z93</f>
        <v>0</v>
      </c>
      <c r="AA94" s="121" t="e">
        <f aca="false">U94+Z94</f>
        <v>#VALUE!</v>
      </c>
      <c r="AB94" s="128" t="e">
        <f aca="false">EURO(U94,AA94,VLOOKUP($B94,Curve_Fetch,2),VLOOKUP($B94,Curve_Fetch,2),Y94,VLOOKUP($B94,Model!$A$8:$R$289,18),IF(Euro!$C$10="Call",1,0),0)</f>
        <v>#VALUE!</v>
      </c>
      <c r="AD94" s="123" t="e">
        <f aca="false">$G94*L94</f>
        <v>#VALUE!</v>
      </c>
      <c r="AE94" s="124" t="e">
        <f aca="false">$G94*P94</f>
        <v>#VALUE!</v>
      </c>
      <c r="AF94" s="124" t="e">
        <f aca="false">$G94*T94</f>
        <v>#VALUE!</v>
      </c>
      <c r="AG94" s="124" t="e">
        <f aca="false">$G94*U94</f>
        <v>#VALUE!</v>
      </c>
      <c r="AH94" s="124" t="e">
        <f aca="false">$G94*AA94</f>
        <v>#VALUE!</v>
      </c>
      <c r="AI94" s="125" t="e">
        <f aca="false">$F94*AB94</f>
        <v>#VALUE!</v>
      </c>
      <c r="AK94" s="0"/>
      <c r="AL94" s="0"/>
      <c r="AM94" s="0"/>
      <c r="AN94" s="0"/>
      <c r="AO94" s="0"/>
      <c r="AP94" s="0"/>
      <c r="AQ94" s="0"/>
      <c r="AR94" s="0"/>
    </row>
    <row r="95" customFormat="false" ht="12.75" hidden="false" customHeight="false" outlineLevel="0" collapsed="false">
      <c r="B95" s="108" t="e">
        <f aca="false">([1]!edate,B94,1)</f>
        <v>#VALUE!</v>
      </c>
      <c r="C95" s="109" t="e">
        <f aca="false">IF($C$11="Physical",B96+24,B96)</f>
        <v>#VALUE!</v>
      </c>
      <c r="D95" s="110" t="n">
        <v>0</v>
      </c>
      <c r="E95" s="111" t="e">
        <f aca="false">VLOOKUP($B95,Model!$A$8:$E$289,5)</f>
        <v>#VALUE!</v>
      </c>
      <c r="F95" s="111" t="e">
        <f aca="false">VLOOKUP($B95,Model!$A$8:$F$289,6)</f>
        <v>#VALUE!</v>
      </c>
      <c r="G95" s="127" t="e">
        <f aca="false">VLOOKUP($B95,Model!$A$8:$AO$289,41)</f>
        <v>#VALUE!</v>
      </c>
      <c r="I95" s="113" t="n">
        <v>0</v>
      </c>
      <c r="J95" s="114" t="e">
        <f aca="false">VLOOKUP($B95,Curve_Fetch,3)</f>
        <v>#VALUE!</v>
      </c>
      <c r="K95" s="121" t="n">
        <f aca="false">K94</f>
        <v>0</v>
      </c>
      <c r="L95" s="116" t="e">
        <f aca="false">IF(Control!$Y$26=Control!$X$27,J95,I95)+K95</f>
        <v>#VALUE!</v>
      </c>
      <c r="M95" s="113" t="n">
        <v>0</v>
      </c>
      <c r="N95" s="114" t="e">
        <f aca="false">VLOOKUP($B95,Curve_Fetch,VLOOKUP(Control!$AJ$10,Control!$AI$11:$AK$22,3))</f>
        <v>#VALUE!</v>
      </c>
      <c r="O95" s="121" t="n">
        <f aca="false">O94</f>
        <v>0</v>
      </c>
      <c r="P95" s="116" t="e">
        <f aca="false">IF(Control!$Y$31=Control!$X$32,N95,M95)+O95</f>
        <v>#VALUE!</v>
      </c>
      <c r="Q95" s="113" t="n">
        <v>0</v>
      </c>
      <c r="R95" s="114" t="e">
        <f aca="false">VLOOKUP($B95,Curve_Fetch,(VLOOKUP(Control!$AJ$10,Control!$AI$11:$AL$22,4)))</f>
        <v>#VALUE!</v>
      </c>
      <c r="S95" s="121" t="n">
        <f aca="false">S94</f>
        <v>0</v>
      </c>
      <c r="T95" s="116" t="e">
        <f aca="false">IF($C$11="Physical",IF(Control!$Y$37=Control!$X$38,R95,Q95)+S95,0)</f>
        <v>#VALUE!</v>
      </c>
      <c r="U95" s="117" t="e">
        <f aca="false">IF($C$11="Financial",L95+P95,L95+P95+T95)</f>
        <v>#VALUE!</v>
      </c>
      <c r="V95" s="114"/>
      <c r="W95" s="118" t="e">
        <f aca="false">VLOOKUP($B95,Model!$A$8:$S$289,19)</f>
        <v>#VALUE!</v>
      </c>
      <c r="X95" s="120" t="n">
        <f aca="false">X94</f>
        <v>0</v>
      </c>
      <c r="Y95" s="120" t="e">
        <f aca="false">W95+X95</f>
        <v>#VALUE!</v>
      </c>
      <c r="Z95" s="121" t="n">
        <f aca="false">Z94</f>
        <v>0</v>
      </c>
      <c r="AA95" s="121" t="e">
        <f aca="false">U95+Z95</f>
        <v>#VALUE!</v>
      </c>
      <c r="AB95" s="128" t="e">
        <f aca="false">EURO(U95,AA95,VLOOKUP($B95,Curve_Fetch,2),VLOOKUP($B95,Curve_Fetch,2),Y95,VLOOKUP($B95,Model!$A$8:$R$289,18),IF(Euro!$C$10="Call",1,0),0)</f>
        <v>#VALUE!</v>
      </c>
      <c r="AD95" s="123" t="e">
        <f aca="false">$G95*L95</f>
        <v>#VALUE!</v>
      </c>
      <c r="AE95" s="124" t="e">
        <f aca="false">$G95*P95</f>
        <v>#VALUE!</v>
      </c>
      <c r="AF95" s="124" t="e">
        <f aca="false">$G95*T95</f>
        <v>#VALUE!</v>
      </c>
      <c r="AG95" s="124" t="e">
        <f aca="false">$G95*U95</f>
        <v>#VALUE!</v>
      </c>
      <c r="AH95" s="124" t="e">
        <f aca="false">$G95*AA95</f>
        <v>#VALUE!</v>
      </c>
      <c r="AI95" s="125" t="e">
        <f aca="false">$F95*AB95</f>
        <v>#VALUE!</v>
      </c>
      <c r="AK95" s="0"/>
      <c r="AL95" s="0"/>
      <c r="AM95" s="0"/>
      <c r="AN95" s="0"/>
      <c r="AO95" s="0"/>
      <c r="AP95" s="0"/>
      <c r="AQ95" s="0"/>
      <c r="AR95" s="0"/>
    </row>
    <row r="96" customFormat="false" ht="12.75" hidden="false" customHeight="false" outlineLevel="0" collapsed="false">
      <c r="B96" s="108" t="e">
        <f aca="false">([1]!edate,B95,1)</f>
        <v>#VALUE!</v>
      </c>
      <c r="C96" s="109" t="e">
        <f aca="false">IF($C$11="Physical",B97+24,B97)</f>
        <v>#VALUE!</v>
      </c>
      <c r="D96" s="110" t="n">
        <v>0</v>
      </c>
      <c r="E96" s="111" t="e">
        <f aca="false">VLOOKUP($B96,Model!$A$8:$E$289,5)</f>
        <v>#VALUE!</v>
      </c>
      <c r="F96" s="111" t="e">
        <f aca="false">VLOOKUP($B96,Model!$A$8:$F$289,6)</f>
        <v>#VALUE!</v>
      </c>
      <c r="G96" s="127" t="e">
        <f aca="false">VLOOKUP($B96,Model!$A$8:$AO$289,41)</f>
        <v>#VALUE!</v>
      </c>
      <c r="I96" s="113" t="n">
        <v>0</v>
      </c>
      <c r="J96" s="114" t="e">
        <f aca="false">VLOOKUP($B96,Curve_Fetch,3)</f>
        <v>#VALUE!</v>
      </c>
      <c r="K96" s="121" t="n">
        <f aca="false">K95</f>
        <v>0</v>
      </c>
      <c r="L96" s="116" t="e">
        <f aca="false">IF(Control!$Y$26=Control!$X$27,J96,I96)+K96</f>
        <v>#VALUE!</v>
      </c>
      <c r="M96" s="113" t="n">
        <v>0</v>
      </c>
      <c r="N96" s="114" t="e">
        <f aca="false">VLOOKUP($B96,Curve_Fetch,VLOOKUP(Control!$AJ$10,Control!$AI$11:$AK$22,3))</f>
        <v>#VALUE!</v>
      </c>
      <c r="O96" s="121" t="n">
        <f aca="false">O95</f>
        <v>0</v>
      </c>
      <c r="P96" s="116" t="e">
        <f aca="false">IF(Control!$Y$31=Control!$X$32,N96,M96)+O96</f>
        <v>#VALUE!</v>
      </c>
      <c r="Q96" s="113" t="n">
        <v>0</v>
      </c>
      <c r="R96" s="114" t="e">
        <f aca="false">VLOOKUP($B96,Curve_Fetch,(VLOOKUP(Control!$AJ$10,Control!$AI$11:$AL$22,4)))</f>
        <v>#VALUE!</v>
      </c>
      <c r="S96" s="121" t="n">
        <f aca="false">S95</f>
        <v>0</v>
      </c>
      <c r="T96" s="116" t="e">
        <f aca="false">IF($C$11="Physical",IF(Control!$Y$37=Control!$X$38,R96,Q96)+S96,0)</f>
        <v>#VALUE!</v>
      </c>
      <c r="U96" s="117" t="e">
        <f aca="false">IF($C$11="Financial",L96+P96,L96+P96+T96)</f>
        <v>#VALUE!</v>
      </c>
      <c r="V96" s="114"/>
      <c r="W96" s="118" t="e">
        <f aca="false">VLOOKUP($B96,Model!$A$8:$S$289,19)</f>
        <v>#VALUE!</v>
      </c>
      <c r="X96" s="120" t="n">
        <f aca="false">X95</f>
        <v>0</v>
      </c>
      <c r="Y96" s="120" t="e">
        <f aca="false">W96+X96</f>
        <v>#VALUE!</v>
      </c>
      <c r="Z96" s="121" t="n">
        <f aca="false">Z95</f>
        <v>0</v>
      </c>
      <c r="AA96" s="121" t="e">
        <f aca="false">U96+Z96</f>
        <v>#VALUE!</v>
      </c>
      <c r="AB96" s="128" t="e">
        <f aca="false">EURO(U96,AA96,VLOOKUP($B96,Curve_Fetch,2),VLOOKUP($B96,Curve_Fetch,2),Y96,VLOOKUP($B96,Model!$A$8:$R$289,18),IF(Euro!$C$10="Call",1,0),0)</f>
        <v>#VALUE!</v>
      </c>
      <c r="AD96" s="123" t="e">
        <f aca="false">$G96*L96</f>
        <v>#VALUE!</v>
      </c>
      <c r="AE96" s="124" t="e">
        <f aca="false">$G96*P96</f>
        <v>#VALUE!</v>
      </c>
      <c r="AF96" s="124" t="e">
        <f aca="false">$G96*T96</f>
        <v>#VALUE!</v>
      </c>
      <c r="AG96" s="124" t="e">
        <f aca="false">$G96*U96</f>
        <v>#VALUE!</v>
      </c>
      <c r="AH96" s="124" t="e">
        <f aca="false">$G96*AA96</f>
        <v>#VALUE!</v>
      </c>
      <c r="AI96" s="125" t="e">
        <f aca="false">$F96*AB96</f>
        <v>#VALUE!</v>
      </c>
      <c r="AK96" s="0"/>
      <c r="AL96" s="0"/>
      <c r="AM96" s="0"/>
      <c r="AN96" s="0"/>
      <c r="AO96" s="0"/>
      <c r="AP96" s="0"/>
      <c r="AQ96" s="0"/>
      <c r="AR96" s="0"/>
    </row>
    <row r="97" customFormat="false" ht="12.75" hidden="false" customHeight="false" outlineLevel="0" collapsed="false">
      <c r="B97" s="108" t="e">
        <f aca="false">([1]!edate,B96,1)</f>
        <v>#VALUE!</v>
      </c>
      <c r="C97" s="109" t="e">
        <f aca="false">IF($C$11="Physical",B98+24,B98)</f>
        <v>#VALUE!</v>
      </c>
      <c r="D97" s="110" t="n">
        <v>0</v>
      </c>
      <c r="E97" s="111" t="e">
        <f aca="false">VLOOKUP($B97,Model!$A$8:$E$289,5)</f>
        <v>#VALUE!</v>
      </c>
      <c r="F97" s="111" t="e">
        <f aca="false">VLOOKUP($B97,Model!$A$8:$F$289,6)</f>
        <v>#VALUE!</v>
      </c>
      <c r="G97" s="127" t="e">
        <f aca="false">VLOOKUP($B97,Model!$A$8:$AO$289,41)</f>
        <v>#VALUE!</v>
      </c>
      <c r="I97" s="113" t="n">
        <v>0</v>
      </c>
      <c r="J97" s="114" t="e">
        <f aca="false">VLOOKUP($B97,Curve_Fetch,3)</f>
        <v>#VALUE!</v>
      </c>
      <c r="K97" s="121" t="n">
        <f aca="false">K96</f>
        <v>0</v>
      </c>
      <c r="L97" s="116" t="e">
        <f aca="false">IF(Control!$Y$26=Control!$X$27,J97,I97)+K97</f>
        <v>#VALUE!</v>
      </c>
      <c r="M97" s="113" t="n">
        <v>0</v>
      </c>
      <c r="N97" s="114" t="e">
        <f aca="false">VLOOKUP($B97,Curve_Fetch,VLOOKUP(Control!$AJ$10,Control!$AI$11:$AK$22,3))</f>
        <v>#VALUE!</v>
      </c>
      <c r="O97" s="121" t="n">
        <f aca="false">O96</f>
        <v>0</v>
      </c>
      <c r="P97" s="116" t="e">
        <f aca="false">IF(Control!$Y$31=Control!$X$32,N97,M97)+O97</f>
        <v>#VALUE!</v>
      </c>
      <c r="Q97" s="113" t="n">
        <v>0</v>
      </c>
      <c r="R97" s="114" t="e">
        <f aca="false">VLOOKUP($B97,Curve_Fetch,(VLOOKUP(Control!$AJ$10,Control!$AI$11:$AL$22,4)))</f>
        <v>#VALUE!</v>
      </c>
      <c r="S97" s="121" t="n">
        <f aca="false">S96</f>
        <v>0</v>
      </c>
      <c r="T97" s="116" t="e">
        <f aca="false">IF($C$11="Physical",IF(Control!$Y$37=Control!$X$38,R97,Q97)+S97,0)</f>
        <v>#VALUE!</v>
      </c>
      <c r="U97" s="117" t="e">
        <f aca="false">IF($C$11="Financial",L97+P97,L97+P97+T97)</f>
        <v>#VALUE!</v>
      </c>
      <c r="V97" s="114"/>
      <c r="W97" s="118" t="e">
        <f aca="false">VLOOKUP($B97,Model!$A$8:$S$289,19)</f>
        <v>#VALUE!</v>
      </c>
      <c r="X97" s="120" t="n">
        <f aca="false">X96</f>
        <v>0</v>
      </c>
      <c r="Y97" s="120" t="e">
        <f aca="false">W97+X97</f>
        <v>#VALUE!</v>
      </c>
      <c r="Z97" s="121" t="n">
        <f aca="false">Z96</f>
        <v>0</v>
      </c>
      <c r="AA97" s="121" t="e">
        <f aca="false">U97+Z97</f>
        <v>#VALUE!</v>
      </c>
      <c r="AB97" s="128" t="e">
        <f aca="false">EURO(U97,AA97,VLOOKUP($B97,Curve_Fetch,2),VLOOKUP($B97,Curve_Fetch,2),Y97,VLOOKUP($B97,Model!$A$8:$R$289,18),IF(Euro!$C$10="Call",1,0),0)</f>
        <v>#VALUE!</v>
      </c>
      <c r="AD97" s="123" t="e">
        <f aca="false">$G97*L97</f>
        <v>#VALUE!</v>
      </c>
      <c r="AE97" s="124" t="e">
        <f aca="false">$G97*P97</f>
        <v>#VALUE!</v>
      </c>
      <c r="AF97" s="124" t="e">
        <f aca="false">$G97*T97</f>
        <v>#VALUE!</v>
      </c>
      <c r="AG97" s="124" t="e">
        <f aca="false">$G97*U97</f>
        <v>#VALUE!</v>
      </c>
      <c r="AH97" s="124" t="e">
        <f aca="false">$G97*AA97</f>
        <v>#VALUE!</v>
      </c>
      <c r="AI97" s="125" t="e">
        <f aca="false">$F97*AB97</f>
        <v>#VALUE!</v>
      </c>
      <c r="AK97" s="0"/>
      <c r="AL97" s="0"/>
      <c r="AM97" s="0"/>
      <c r="AN97" s="0"/>
      <c r="AO97" s="0"/>
      <c r="AP97" s="0"/>
      <c r="AQ97" s="0"/>
      <c r="AR97" s="0"/>
    </row>
    <row r="98" customFormat="false" ht="12.75" hidden="false" customHeight="false" outlineLevel="0" collapsed="false">
      <c r="B98" s="108" t="e">
        <f aca="false">([1]!edate,B97,1)</f>
        <v>#VALUE!</v>
      </c>
      <c r="C98" s="109" t="e">
        <f aca="false">IF($C$11="Physical",B99+24,B99)</f>
        <v>#VALUE!</v>
      </c>
      <c r="D98" s="110" t="n">
        <v>0</v>
      </c>
      <c r="E98" s="111" t="e">
        <f aca="false">VLOOKUP($B98,Model!$A$8:$E$289,5)</f>
        <v>#VALUE!</v>
      </c>
      <c r="F98" s="111" t="e">
        <f aca="false">VLOOKUP($B98,Model!$A$8:$F$289,6)</f>
        <v>#VALUE!</v>
      </c>
      <c r="G98" s="127" t="e">
        <f aca="false">VLOOKUP($B98,Model!$A$8:$AO$289,41)</f>
        <v>#VALUE!</v>
      </c>
      <c r="I98" s="113" t="n">
        <v>0</v>
      </c>
      <c r="J98" s="114" t="e">
        <f aca="false">VLOOKUP($B98,Curve_Fetch,3)</f>
        <v>#VALUE!</v>
      </c>
      <c r="K98" s="121" t="n">
        <f aca="false">K97</f>
        <v>0</v>
      </c>
      <c r="L98" s="116" t="e">
        <f aca="false">IF(Control!$Y$26=Control!$X$27,J98,I98)+K98</f>
        <v>#VALUE!</v>
      </c>
      <c r="M98" s="113" t="n">
        <v>0</v>
      </c>
      <c r="N98" s="114" t="e">
        <f aca="false">VLOOKUP($B98,Curve_Fetch,VLOOKUP(Control!$AJ$10,Control!$AI$11:$AK$22,3))</f>
        <v>#VALUE!</v>
      </c>
      <c r="O98" s="121" t="n">
        <f aca="false">O97</f>
        <v>0</v>
      </c>
      <c r="P98" s="116" t="e">
        <f aca="false">IF(Control!$Y$31=Control!$X$32,N98,M98)+O98</f>
        <v>#VALUE!</v>
      </c>
      <c r="Q98" s="113" t="n">
        <v>0</v>
      </c>
      <c r="R98" s="114" t="e">
        <f aca="false">VLOOKUP($B98,Curve_Fetch,(VLOOKUP(Control!$AJ$10,Control!$AI$11:$AL$22,4)))</f>
        <v>#VALUE!</v>
      </c>
      <c r="S98" s="121" t="n">
        <f aca="false">S97</f>
        <v>0</v>
      </c>
      <c r="T98" s="116" t="e">
        <f aca="false">IF($C$11="Physical",IF(Control!$Y$37=Control!$X$38,R98,Q98)+S98,0)</f>
        <v>#VALUE!</v>
      </c>
      <c r="U98" s="117" t="e">
        <f aca="false">IF($C$11="Financial",L98+P98,L98+P98+T98)</f>
        <v>#VALUE!</v>
      </c>
      <c r="V98" s="114"/>
      <c r="W98" s="118" t="e">
        <f aca="false">VLOOKUP($B98,Model!$A$8:$S$289,19)</f>
        <v>#VALUE!</v>
      </c>
      <c r="X98" s="120" t="n">
        <f aca="false">X97</f>
        <v>0</v>
      </c>
      <c r="Y98" s="120" t="e">
        <f aca="false">W98+X98</f>
        <v>#VALUE!</v>
      </c>
      <c r="Z98" s="121" t="n">
        <f aca="false">Z97</f>
        <v>0</v>
      </c>
      <c r="AA98" s="121" t="e">
        <f aca="false">U98+Z98</f>
        <v>#VALUE!</v>
      </c>
      <c r="AB98" s="128" t="e">
        <f aca="false">EURO(U98,AA98,VLOOKUP($B98,Curve_Fetch,2),VLOOKUP($B98,Curve_Fetch,2),Y98,VLOOKUP($B98,Model!$A$8:$R$289,18),IF(Euro!$C$10="Call",1,0),0)</f>
        <v>#VALUE!</v>
      </c>
      <c r="AD98" s="123" t="e">
        <f aca="false">$G98*L98</f>
        <v>#VALUE!</v>
      </c>
      <c r="AE98" s="124" t="e">
        <f aca="false">$G98*P98</f>
        <v>#VALUE!</v>
      </c>
      <c r="AF98" s="124" t="e">
        <f aca="false">$G98*T98</f>
        <v>#VALUE!</v>
      </c>
      <c r="AG98" s="124" t="e">
        <f aca="false">$G98*U98</f>
        <v>#VALUE!</v>
      </c>
      <c r="AH98" s="124" t="e">
        <f aca="false">$G98*AA98</f>
        <v>#VALUE!</v>
      </c>
      <c r="AI98" s="125" t="e">
        <f aca="false">$F98*AB98</f>
        <v>#VALUE!</v>
      </c>
      <c r="AK98" s="0"/>
      <c r="AL98" s="0"/>
      <c r="AM98" s="0"/>
      <c r="AN98" s="0"/>
      <c r="AO98" s="0"/>
      <c r="AP98" s="0"/>
      <c r="AQ98" s="0"/>
      <c r="AR98" s="0"/>
    </row>
    <row r="99" customFormat="false" ht="12.75" hidden="false" customHeight="false" outlineLevel="0" collapsed="false">
      <c r="B99" s="108" t="e">
        <f aca="false">([1]!edate,B98,1)</f>
        <v>#VALUE!</v>
      </c>
      <c r="C99" s="109" t="e">
        <f aca="false">IF($C$11="Physical",B100+24,B100)</f>
        <v>#VALUE!</v>
      </c>
      <c r="D99" s="110" t="n">
        <v>0</v>
      </c>
      <c r="E99" s="111" t="e">
        <f aca="false">VLOOKUP($B99,Model!$A$8:$E$289,5)</f>
        <v>#VALUE!</v>
      </c>
      <c r="F99" s="111" t="e">
        <f aca="false">VLOOKUP($B99,Model!$A$8:$F$289,6)</f>
        <v>#VALUE!</v>
      </c>
      <c r="G99" s="127" t="e">
        <f aca="false">VLOOKUP($B99,Model!$A$8:$AO$289,41)</f>
        <v>#VALUE!</v>
      </c>
      <c r="I99" s="113" t="n">
        <v>0</v>
      </c>
      <c r="J99" s="114" t="e">
        <f aca="false">VLOOKUP($B99,Curve_Fetch,3)</f>
        <v>#VALUE!</v>
      </c>
      <c r="K99" s="121" t="n">
        <f aca="false">K98</f>
        <v>0</v>
      </c>
      <c r="L99" s="116" t="e">
        <f aca="false">IF(Control!$Y$26=Control!$X$27,J99,I99)+K99</f>
        <v>#VALUE!</v>
      </c>
      <c r="M99" s="113" t="n">
        <v>0</v>
      </c>
      <c r="N99" s="114" t="e">
        <f aca="false">VLOOKUP($B99,Curve_Fetch,VLOOKUP(Control!$AJ$10,Control!$AI$11:$AK$22,3))</f>
        <v>#VALUE!</v>
      </c>
      <c r="O99" s="121" t="n">
        <f aca="false">O98</f>
        <v>0</v>
      </c>
      <c r="P99" s="116" t="e">
        <f aca="false">IF(Control!$Y$31=Control!$X$32,N99,M99)+O99</f>
        <v>#VALUE!</v>
      </c>
      <c r="Q99" s="113" t="n">
        <v>0</v>
      </c>
      <c r="R99" s="114" t="e">
        <f aca="false">VLOOKUP($B99,Curve_Fetch,(VLOOKUP(Control!$AJ$10,Control!$AI$11:$AL$22,4)))</f>
        <v>#VALUE!</v>
      </c>
      <c r="S99" s="121" t="n">
        <f aca="false">S98</f>
        <v>0</v>
      </c>
      <c r="T99" s="116" t="e">
        <f aca="false">IF($C$11="Physical",IF(Control!$Y$37=Control!$X$38,R99,Q99)+S99,0)</f>
        <v>#VALUE!</v>
      </c>
      <c r="U99" s="117" t="e">
        <f aca="false">IF($C$11="Financial",L99+P99,L99+P99+T99)</f>
        <v>#VALUE!</v>
      </c>
      <c r="V99" s="114"/>
      <c r="W99" s="118" t="e">
        <f aca="false">VLOOKUP($B99,Model!$A$8:$S$289,19)</f>
        <v>#VALUE!</v>
      </c>
      <c r="X99" s="120" t="n">
        <f aca="false">X98</f>
        <v>0</v>
      </c>
      <c r="Y99" s="120" t="e">
        <f aca="false">W99+X99</f>
        <v>#VALUE!</v>
      </c>
      <c r="Z99" s="121" t="n">
        <f aca="false">Z98</f>
        <v>0</v>
      </c>
      <c r="AA99" s="121" t="e">
        <f aca="false">U99+Z99</f>
        <v>#VALUE!</v>
      </c>
      <c r="AB99" s="128" t="e">
        <f aca="false">EURO(U99,AA99,VLOOKUP($B99,Curve_Fetch,2),VLOOKUP($B99,Curve_Fetch,2),Y99,VLOOKUP($B99,Model!$A$8:$R$289,18),IF(Euro!$C$10="Call",1,0),0)</f>
        <v>#VALUE!</v>
      </c>
      <c r="AD99" s="123" t="e">
        <f aca="false">$G99*L99</f>
        <v>#VALUE!</v>
      </c>
      <c r="AE99" s="124" t="e">
        <f aca="false">$G99*P99</f>
        <v>#VALUE!</v>
      </c>
      <c r="AF99" s="124" t="e">
        <f aca="false">$G99*T99</f>
        <v>#VALUE!</v>
      </c>
      <c r="AG99" s="124" t="e">
        <f aca="false">$G99*U99</f>
        <v>#VALUE!</v>
      </c>
      <c r="AH99" s="124" t="e">
        <f aca="false">$G99*AA99</f>
        <v>#VALUE!</v>
      </c>
      <c r="AI99" s="125" t="e">
        <f aca="false">$F99*AB99</f>
        <v>#VALUE!</v>
      </c>
      <c r="AK99" s="0"/>
      <c r="AL99" s="0"/>
      <c r="AM99" s="0"/>
      <c r="AN99" s="0"/>
      <c r="AO99" s="0"/>
      <c r="AP99" s="0"/>
      <c r="AQ99" s="0"/>
      <c r="AR99" s="0"/>
    </row>
    <row r="100" customFormat="false" ht="12.75" hidden="false" customHeight="false" outlineLevel="0" collapsed="false">
      <c r="B100" s="108" t="e">
        <f aca="false">([1]!edate,B99,1)</f>
        <v>#VALUE!</v>
      </c>
      <c r="C100" s="109" t="e">
        <f aca="false">IF($C$11="Physical",B101+24,B101)</f>
        <v>#VALUE!</v>
      </c>
      <c r="D100" s="110" t="n">
        <v>0</v>
      </c>
      <c r="E100" s="111" t="e">
        <f aca="false">VLOOKUP($B100,Model!$A$8:$E$289,5)</f>
        <v>#VALUE!</v>
      </c>
      <c r="F100" s="111" t="e">
        <f aca="false">VLOOKUP($B100,Model!$A$8:$F$289,6)</f>
        <v>#VALUE!</v>
      </c>
      <c r="G100" s="127" t="e">
        <f aca="false">VLOOKUP($B100,Model!$A$8:$AO$289,41)</f>
        <v>#VALUE!</v>
      </c>
      <c r="I100" s="113" t="n">
        <v>0</v>
      </c>
      <c r="J100" s="114" t="e">
        <f aca="false">VLOOKUP($B100,Curve_Fetch,3)</f>
        <v>#VALUE!</v>
      </c>
      <c r="K100" s="121" t="n">
        <f aca="false">K99</f>
        <v>0</v>
      </c>
      <c r="L100" s="116" t="e">
        <f aca="false">IF(Control!$Y$26=Control!$X$27,J100,I100)+K100</f>
        <v>#VALUE!</v>
      </c>
      <c r="M100" s="113" t="n">
        <v>0</v>
      </c>
      <c r="N100" s="114" t="e">
        <f aca="false">VLOOKUP($B100,Curve_Fetch,VLOOKUP(Control!$AJ$10,Control!$AI$11:$AK$22,3))</f>
        <v>#VALUE!</v>
      </c>
      <c r="O100" s="121" t="n">
        <f aca="false">O99</f>
        <v>0</v>
      </c>
      <c r="P100" s="116" t="e">
        <f aca="false">IF(Control!$Y$31=Control!$X$32,N100,M100)+O100</f>
        <v>#VALUE!</v>
      </c>
      <c r="Q100" s="113" t="n">
        <v>0</v>
      </c>
      <c r="R100" s="114" t="e">
        <f aca="false">VLOOKUP($B100,Curve_Fetch,(VLOOKUP(Control!$AJ$10,Control!$AI$11:$AL$22,4)))</f>
        <v>#VALUE!</v>
      </c>
      <c r="S100" s="121" t="n">
        <f aca="false">S99</f>
        <v>0</v>
      </c>
      <c r="T100" s="116" t="e">
        <f aca="false">IF($C$11="Physical",IF(Control!$Y$37=Control!$X$38,R100,Q100)+S100,0)</f>
        <v>#VALUE!</v>
      </c>
      <c r="U100" s="117" t="e">
        <f aca="false">IF($C$11="Financial",L100+P100,L100+P100+T100)</f>
        <v>#VALUE!</v>
      </c>
      <c r="V100" s="114"/>
      <c r="W100" s="118" t="e">
        <f aca="false">VLOOKUP($B100,Model!$A$8:$S$289,19)</f>
        <v>#VALUE!</v>
      </c>
      <c r="X100" s="120" t="n">
        <f aca="false">X99</f>
        <v>0</v>
      </c>
      <c r="Y100" s="120" t="e">
        <f aca="false">W100+X100</f>
        <v>#VALUE!</v>
      </c>
      <c r="Z100" s="121" t="n">
        <f aca="false">Z99</f>
        <v>0</v>
      </c>
      <c r="AA100" s="121" t="e">
        <f aca="false">U100+Z100</f>
        <v>#VALUE!</v>
      </c>
      <c r="AB100" s="128" t="e">
        <f aca="false">EURO(U100,AA100,VLOOKUP($B100,Curve_Fetch,2),VLOOKUP($B100,Curve_Fetch,2),Y100,VLOOKUP($B100,Model!$A$8:$R$289,18),IF(Euro!$C$10="Call",1,0),0)</f>
        <v>#VALUE!</v>
      </c>
      <c r="AD100" s="123" t="e">
        <f aca="false">$G100*L100</f>
        <v>#VALUE!</v>
      </c>
      <c r="AE100" s="124" t="e">
        <f aca="false">$G100*P100</f>
        <v>#VALUE!</v>
      </c>
      <c r="AF100" s="124" t="e">
        <f aca="false">$G100*T100</f>
        <v>#VALUE!</v>
      </c>
      <c r="AG100" s="124" t="e">
        <f aca="false">$G100*U100</f>
        <v>#VALUE!</v>
      </c>
      <c r="AH100" s="124" t="e">
        <f aca="false">$G100*AA100</f>
        <v>#VALUE!</v>
      </c>
      <c r="AI100" s="125" t="e">
        <f aca="false">$F100*AB100</f>
        <v>#VALUE!</v>
      </c>
      <c r="AK100" s="0"/>
      <c r="AL100" s="0"/>
      <c r="AM100" s="0"/>
      <c r="AN100" s="0"/>
      <c r="AO100" s="0"/>
      <c r="AP100" s="0"/>
      <c r="AQ100" s="0"/>
      <c r="AR100" s="0"/>
    </row>
    <row r="101" customFormat="false" ht="12.75" hidden="false" customHeight="false" outlineLevel="0" collapsed="false">
      <c r="B101" s="108" t="e">
        <f aca="false">([1]!edate,B100,1)</f>
        <v>#VALUE!</v>
      </c>
      <c r="C101" s="109" t="e">
        <f aca="false">IF($C$11="Physical",B102+24,B102)</f>
        <v>#VALUE!</v>
      </c>
      <c r="D101" s="110" t="n">
        <v>0</v>
      </c>
      <c r="E101" s="111" t="e">
        <f aca="false">VLOOKUP($B101,Model!$A$8:$E$289,5)</f>
        <v>#VALUE!</v>
      </c>
      <c r="F101" s="111" t="e">
        <f aca="false">VLOOKUP($B101,Model!$A$8:$F$289,6)</f>
        <v>#VALUE!</v>
      </c>
      <c r="G101" s="127" t="e">
        <f aca="false">VLOOKUP($B101,Model!$A$8:$AO$289,41)</f>
        <v>#VALUE!</v>
      </c>
      <c r="I101" s="113" t="n">
        <v>0</v>
      </c>
      <c r="J101" s="114" t="e">
        <f aca="false">VLOOKUP($B101,Curve_Fetch,3)</f>
        <v>#VALUE!</v>
      </c>
      <c r="K101" s="121" t="n">
        <f aca="false">K100</f>
        <v>0</v>
      </c>
      <c r="L101" s="116" t="e">
        <f aca="false">IF(Control!$Y$26=Control!$X$27,J101,I101)+K101</f>
        <v>#VALUE!</v>
      </c>
      <c r="M101" s="113" t="n">
        <v>0</v>
      </c>
      <c r="N101" s="114" t="e">
        <f aca="false">VLOOKUP($B101,Curve_Fetch,VLOOKUP(Control!$AJ$10,Control!$AI$11:$AK$22,3))</f>
        <v>#VALUE!</v>
      </c>
      <c r="O101" s="121" t="n">
        <f aca="false">O100</f>
        <v>0</v>
      </c>
      <c r="P101" s="116" t="e">
        <f aca="false">IF(Control!$Y$31=Control!$X$32,N101,M101)+O101</f>
        <v>#VALUE!</v>
      </c>
      <c r="Q101" s="113" t="n">
        <v>0</v>
      </c>
      <c r="R101" s="114" t="e">
        <f aca="false">VLOOKUP($B101,Curve_Fetch,(VLOOKUP(Control!$AJ$10,Control!$AI$11:$AL$22,4)))</f>
        <v>#VALUE!</v>
      </c>
      <c r="S101" s="121" t="n">
        <f aca="false">S100</f>
        <v>0</v>
      </c>
      <c r="T101" s="116" t="e">
        <f aca="false">IF($C$11="Physical",IF(Control!$Y$37=Control!$X$38,R101,Q101)+S101,0)</f>
        <v>#VALUE!</v>
      </c>
      <c r="U101" s="117" t="e">
        <f aca="false">IF($C$11="Financial",L101+P101,L101+P101+T101)</f>
        <v>#VALUE!</v>
      </c>
      <c r="V101" s="114"/>
      <c r="W101" s="118" t="e">
        <f aca="false">VLOOKUP($B101,Model!$A$8:$S$289,19)</f>
        <v>#VALUE!</v>
      </c>
      <c r="X101" s="120" t="n">
        <f aca="false">X100</f>
        <v>0</v>
      </c>
      <c r="Y101" s="120" t="e">
        <f aca="false">W101+X101</f>
        <v>#VALUE!</v>
      </c>
      <c r="Z101" s="121" t="n">
        <f aca="false">Z100</f>
        <v>0</v>
      </c>
      <c r="AA101" s="121" t="e">
        <f aca="false">U101+Z101</f>
        <v>#VALUE!</v>
      </c>
      <c r="AB101" s="128" t="e">
        <f aca="false">EURO(U101,AA101,VLOOKUP($B101,Curve_Fetch,2),VLOOKUP($B101,Curve_Fetch,2),Y101,VLOOKUP($B101,Model!$A$8:$R$289,18),IF(Euro!$C$10="Call",1,0),0)</f>
        <v>#VALUE!</v>
      </c>
      <c r="AD101" s="123" t="e">
        <f aca="false">$G101*L101</f>
        <v>#VALUE!</v>
      </c>
      <c r="AE101" s="124" t="e">
        <f aca="false">$G101*P101</f>
        <v>#VALUE!</v>
      </c>
      <c r="AF101" s="124" t="e">
        <f aca="false">$G101*T101</f>
        <v>#VALUE!</v>
      </c>
      <c r="AG101" s="124" t="e">
        <f aca="false">$G101*U101</f>
        <v>#VALUE!</v>
      </c>
      <c r="AH101" s="124" t="e">
        <f aca="false">$G101*AA101</f>
        <v>#VALUE!</v>
      </c>
      <c r="AI101" s="125" t="e">
        <f aca="false">$F101*AB101</f>
        <v>#VALUE!</v>
      </c>
      <c r="AK101" s="0"/>
      <c r="AL101" s="0"/>
      <c r="AM101" s="0"/>
      <c r="AN101" s="0"/>
      <c r="AO101" s="0"/>
      <c r="AP101" s="0"/>
      <c r="AQ101" s="0"/>
      <c r="AR101" s="0"/>
    </row>
    <row r="102" customFormat="false" ht="12.75" hidden="false" customHeight="false" outlineLevel="0" collapsed="false">
      <c r="B102" s="108" t="e">
        <f aca="false">([1]!edate,B101,1)</f>
        <v>#VALUE!</v>
      </c>
      <c r="C102" s="109" t="e">
        <f aca="false">IF($C$11="Physical",B103+24,B103)</f>
        <v>#VALUE!</v>
      </c>
      <c r="D102" s="110" t="n">
        <v>0</v>
      </c>
      <c r="E102" s="111" t="e">
        <f aca="false">VLOOKUP($B102,Model!$A$8:$E$289,5)</f>
        <v>#VALUE!</v>
      </c>
      <c r="F102" s="111" t="e">
        <f aca="false">VLOOKUP($B102,Model!$A$8:$F$289,6)</f>
        <v>#VALUE!</v>
      </c>
      <c r="G102" s="127" t="e">
        <f aca="false">VLOOKUP($B102,Model!$A$8:$AO$289,41)</f>
        <v>#VALUE!</v>
      </c>
      <c r="I102" s="113" t="n">
        <v>0</v>
      </c>
      <c r="J102" s="114" t="e">
        <f aca="false">VLOOKUP($B102,Curve_Fetch,3)</f>
        <v>#VALUE!</v>
      </c>
      <c r="K102" s="121" t="n">
        <f aca="false">K101</f>
        <v>0</v>
      </c>
      <c r="L102" s="116" t="e">
        <f aca="false">IF(Control!$Y$26=Control!$X$27,J102,I102)+K102</f>
        <v>#VALUE!</v>
      </c>
      <c r="M102" s="113" t="n">
        <v>0</v>
      </c>
      <c r="N102" s="114" t="e">
        <f aca="false">VLOOKUP($B102,Curve_Fetch,VLOOKUP(Control!$AJ$10,Control!$AI$11:$AK$22,3))</f>
        <v>#VALUE!</v>
      </c>
      <c r="O102" s="121" t="n">
        <f aca="false">O101</f>
        <v>0</v>
      </c>
      <c r="P102" s="116" t="e">
        <f aca="false">IF(Control!$Y$31=Control!$X$32,N102,M102)+O102</f>
        <v>#VALUE!</v>
      </c>
      <c r="Q102" s="113" t="n">
        <v>0</v>
      </c>
      <c r="R102" s="114" t="e">
        <f aca="false">VLOOKUP($B102,Curve_Fetch,(VLOOKUP(Control!$AJ$10,Control!$AI$11:$AL$22,4)))</f>
        <v>#VALUE!</v>
      </c>
      <c r="S102" s="121" t="n">
        <f aca="false">S101</f>
        <v>0</v>
      </c>
      <c r="T102" s="116" t="e">
        <f aca="false">IF($C$11="Physical",IF(Control!$Y$37=Control!$X$38,R102,Q102)+S102,0)</f>
        <v>#VALUE!</v>
      </c>
      <c r="U102" s="117" t="e">
        <f aca="false">IF($C$11="Financial",L102+P102,L102+P102+T102)</f>
        <v>#VALUE!</v>
      </c>
      <c r="V102" s="114"/>
      <c r="W102" s="118" t="e">
        <f aca="false">VLOOKUP($B102,Model!$A$8:$S$289,19)</f>
        <v>#VALUE!</v>
      </c>
      <c r="X102" s="120" t="n">
        <f aca="false">X101</f>
        <v>0</v>
      </c>
      <c r="Y102" s="120" t="e">
        <f aca="false">W102+X102</f>
        <v>#VALUE!</v>
      </c>
      <c r="Z102" s="121" t="n">
        <f aca="false">Z101</f>
        <v>0</v>
      </c>
      <c r="AA102" s="121" t="e">
        <f aca="false">U102+Z102</f>
        <v>#VALUE!</v>
      </c>
      <c r="AB102" s="128" t="e">
        <f aca="false">EURO(U102,AA102,VLOOKUP($B102,Curve_Fetch,2),VLOOKUP($B102,Curve_Fetch,2),Y102,VLOOKUP($B102,Model!$A$8:$R$289,18),IF(Euro!$C$10="Call",1,0),0)</f>
        <v>#VALUE!</v>
      </c>
      <c r="AD102" s="123" t="e">
        <f aca="false">$G102*L102</f>
        <v>#VALUE!</v>
      </c>
      <c r="AE102" s="124" t="e">
        <f aca="false">$G102*P102</f>
        <v>#VALUE!</v>
      </c>
      <c r="AF102" s="124" t="e">
        <f aca="false">$G102*T102</f>
        <v>#VALUE!</v>
      </c>
      <c r="AG102" s="124" t="e">
        <f aca="false">$G102*U102</f>
        <v>#VALUE!</v>
      </c>
      <c r="AH102" s="124" t="e">
        <f aca="false">$G102*AA102</f>
        <v>#VALUE!</v>
      </c>
      <c r="AI102" s="125" t="e">
        <f aca="false">$F102*AB102</f>
        <v>#VALUE!</v>
      </c>
      <c r="AK102" s="0"/>
      <c r="AL102" s="0"/>
      <c r="AM102" s="0"/>
      <c r="AN102" s="0"/>
      <c r="AO102" s="0"/>
      <c r="AP102" s="0"/>
      <c r="AQ102" s="0"/>
      <c r="AR102" s="0"/>
    </row>
    <row r="103" customFormat="false" ht="12.75" hidden="false" customHeight="false" outlineLevel="0" collapsed="false">
      <c r="B103" s="108" t="e">
        <f aca="false">([1]!edate,B102,1)</f>
        <v>#VALUE!</v>
      </c>
      <c r="C103" s="109" t="e">
        <f aca="false">IF($C$11="Physical",B104+24,B104)</f>
        <v>#VALUE!</v>
      </c>
      <c r="D103" s="110" t="n">
        <v>0</v>
      </c>
      <c r="E103" s="111" t="e">
        <f aca="false">VLOOKUP($B103,Model!$A$8:$E$289,5)</f>
        <v>#VALUE!</v>
      </c>
      <c r="F103" s="111" t="e">
        <f aca="false">VLOOKUP($B103,Model!$A$8:$F$289,6)</f>
        <v>#VALUE!</v>
      </c>
      <c r="G103" s="127" t="e">
        <f aca="false">VLOOKUP($B103,Model!$A$8:$AO$289,41)</f>
        <v>#VALUE!</v>
      </c>
      <c r="I103" s="113" t="n">
        <v>0</v>
      </c>
      <c r="J103" s="114" t="e">
        <f aca="false">VLOOKUP($B103,Curve_Fetch,3)</f>
        <v>#VALUE!</v>
      </c>
      <c r="K103" s="121" t="n">
        <f aca="false">K102</f>
        <v>0</v>
      </c>
      <c r="L103" s="116" t="e">
        <f aca="false">IF(Control!$Y$26=Control!$X$27,J103,I103)+K103</f>
        <v>#VALUE!</v>
      </c>
      <c r="M103" s="113" t="n">
        <v>0</v>
      </c>
      <c r="N103" s="114" t="e">
        <f aca="false">VLOOKUP($B103,Curve_Fetch,VLOOKUP(Control!$AJ$10,Control!$AI$11:$AK$22,3))</f>
        <v>#VALUE!</v>
      </c>
      <c r="O103" s="121" t="n">
        <f aca="false">O102</f>
        <v>0</v>
      </c>
      <c r="P103" s="116" t="e">
        <f aca="false">IF(Control!$Y$31=Control!$X$32,N103,M103)+O103</f>
        <v>#VALUE!</v>
      </c>
      <c r="Q103" s="113" t="n">
        <v>0</v>
      </c>
      <c r="R103" s="114" t="e">
        <f aca="false">VLOOKUP($B103,Curve_Fetch,(VLOOKUP(Control!$AJ$10,Control!$AI$11:$AL$22,4)))</f>
        <v>#VALUE!</v>
      </c>
      <c r="S103" s="121" t="n">
        <f aca="false">S102</f>
        <v>0</v>
      </c>
      <c r="T103" s="116" t="e">
        <f aca="false">IF($C$11="Physical",IF(Control!$Y$37=Control!$X$38,R103,Q103)+S103,0)</f>
        <v>#VALUE!</v>
      </c>
      <c r="U103" s="117" t="e">
        <f aca="false">IF($C$11="Financial",L103+P103,L103+P103+T103)</f>
        <v>#VALUE!</v>
      </c>
      <c r="V103" s="114"/>
      <c r="W103" s="118" t="e">
        <f aca="false">VLOOKUP($B103,Model!$A$8:$S$289,19)</f>
        <v>#VALUE!</v>
      </c>
      <c r="X103" s="120" t="n">
        <f aca="false">X102</f>
        <v>0</v>
      </c>
      <c r="Y103" s="120" t="e">
        <f aca="false">W103+X103</f>
        <v>#VALUE!</v>
      </c>
      <c r="Z103" s="121" t="n">
        <f aca="false">Z102</f>
        <v>0</v>
      </c>
      <c r="AA103" s="121" t="e">
        <f aca="false">U103+Z103</f>
        <v>#VALUE!</v>
      </c>
      <c r="AB103" s="128" t="e">
        <f aca="false">EURO(U103,AA103,VLOOKUP($B103,Curve_Fetch,2),VLOOKUP($B103,Curve_Fetch,2),Y103,VLOOKUP($B103,Model!$A$8:$R$289,18),IF(Euro!$C$10="Call",1,0),0)</f>
        <v>#VALUE!</v>
      </c>
      <c r="AD103" s="123" t="e">
        <f aca="false">$G103*L103</f>
        <v>#VALUE!</v>
      </c>
      <c r="AE103" s="124" t="e">
        <f aca="false">$G103*P103</f>
        <v>#VALUE!</v>
      </c>
      <c r="AF103" s="124" t="e">
        <f aca="false">$G103*T103</f>
        <v>#VALUE!</v>
      </c>
      <c r="AG103" s="124" t="e">
        <f aca="false">$G103*U103</f>
        <v>#VALUE!</v>
      </c>
      <c r="AH103" s="124" t="e">
        <f aca="false">$G103*AA103</f>
        <v>#VALUE!</v>
      </c>
      <c r="AI103" s="125" t="e">
        <f aca="false">$F103*AB103</f>
        <v>#VALUE!</v>
      </c>
      <c r="AK103" s="0"/>
      <c r="AL103" s="0"/>
      <c r="AM103" s="0"/>
      <c r="AN103" s="0"/>
      <c r="AO103" s="0"/>
      <c r="AP103" s="0"/>
      <c r="AQ103" s="0"/>
      <c r="AR103" s="0"/>
    </row>
    <row r="104" customFormat="false" ht="12.75" hidden="false" customHeight="false" outlineLevel="0" collapsed="false">
      <c r="B104" s="108" t="e">
        <f aca="false">([1]!edate,B103,1)</f>
        <v>#VALUE!</v>
      </c>
      <c r="C104" s="109" t="e">
        <f aca="false">IF($C$11="Physical",B105+24,B105)</f>
        <v>#VALUE!</v>
      </c>
      <c r="D104" s="110" t="n">
        <v>0</v>
      </c>
      <c r="E104" s="111" t="e">
        <f aca="false">VLOOKUP($B104,Model!$A$8:$E$289,5)</f>
        <v>#VALUE!</v>
      </c>
      <c r="F104" s="111" t="e">
        <f aca="false">VLOOKUP($B104,Model!$A$8:$F$289,6)</f>
        <v>#VALUE!</v>
      </c>
      <c r="G104" s="127" t="e">
        <f aca="false">VLOOKUP($B104,Model!$A$8:$AO$289,41)</f>
        <v>#VALUE!</v>
      </c>
      <c r="I104" s="113" t="n">
        <v>0</v>
      </c>
      <c r="J104" s="114" t="e">
        <f aca="false">VLOOKUP($B104,Curve_Fetch,3)</f>
        <v>#VALUE!</v>
      </c>
      <c r="K104" s="121" t="n">
        <f aca="false">K103</f>
        <v>0</v>
      </c>
      <c r="L104" s="116" t="e">
        <f aca="false">IF(Control!$Y$26=Control!$X$27,J104,I104)+K104</f>
        <v>#VALUE!</v>
      </c>
      <c r="M104" s="113" t="n">
        <v>0</v>
      </c>
      <c r="N104" s="114" t="e">
        <f aca="false">VLOOKUP($B104,Curve_Fetch,VLOOKUP(Control!$AJ$10,Control!$AI$11:$AK$22,3))</f>
        <v>#VALUE!</v>
      </c>
      <c r="O104" s="121" t="n">
        <f aca="false">O103</f>
        <v>0</v>
      </c>
      <c r="P104" s="116" t="e">
        <f aca="false">IF(Control!$Y$31=Control!$X$32,N104,M104)+O104</f>
        <v>#VALUE!</v>
      </c>
      <c r="Q104" s="113" t="n">
        <v>0</v>
      </c>
      <c r="R104" s="114" t="e">
        <f aca="false">VLOOKUP($B104,Curve_Fetch,(VLOOKUP(Control!$AJ$10,Control!$AI$11:$AL$22,4)))</f>
        <v>#VALUE!</v>
      </c>
      <c r="S104" s="121" t="n">
        <f aca="false">S103</f>
        <v>0</v>
      </c>
      <c r="T104" s="116" t="e">
        <f aca="false">IF($C$11="Physical",IF(Control!$Y$37=Control!$X$38,R104,Q104)+S104,0)</f>
        <v>#VALUE!</v>
      </c>
      <c r="U104" s="117" t="e">
        <f aca="false">IF($C$11="Financial",L104+P104,L104+P104+T104)</f>
        <v>#VALUE!</v>
      </c>
      <c r="V104" s="114"/>
      <c r="W104" s="118" t="e">
        <f aca="false">VLOOKUP($B104,Model!$A$8:$S$289,19)</f>
        <v>#VALUE!</v>
      </c>
      <c r="X104" s="120" t="n">
        <f aca="false">X103</f>
        <v>0</v>
      </c>
      <c r="Y104" s="120" t="e">
        <f aca="false">W104+X104</f>
        <v>#VALUE!</v>
      </c>
      <c r="Z104" s="121" t="n">
        <f aca="false">Z103</f>
        <v>0</v>
      </c>
      <c r="AA104" s="121" t="e">
        <f aca="false">U104+Z104</f>
        <v>#VALUE!</v>
      </c>
      <c r="AB104" s="128" t="e">
        <f aca="false">EURO(U104,AA104,VLOOKUP($B104,Curve_Fetch,2),VLOOKUP($B104,Curve_Fetch,2),Y104,VLOOKUP($B104,Model!$A$8:$R$289,18),IF(Euro!$C$10="Call",1,0),0)</f>
        <v>#VALUE!</v>
      </c>
      <c r="AD104" s="123" t="e">
        <f aca="false">$G104*L104</f>
        <v>#VALUE!</v>
      </c>
      <c r="AE104" s="124" t="e">
        <f aca="false">$G104*P104</f>
        <v>#VALUE!</v>
      </c>
      <c r="AF104" s="124" t="e">
        <f aca="false">$G104*T104</f>
        <v>#VALUE!</v>
      </c>
      <c r="AG104" s="124" t="e">
        <f aca="false">$G104*U104</f>
        <v>#VALUE!</v>
      </c>
      <c r="AH104" s="124" t="e">
        <f aca="false">$G104*AA104</f>
        <v>#VALUE!</v>
      </c>
      <c r="AI104" s="125" t="e">
        <f aca="false">$F104*AB104</f>
        <v>#VALUE!</v>
      </c>
      <c r="AK104" s="0"/>
      <c r="AL104" s="0"/>
      <c r="AM104" s="0"/>
      <c r="AN104" s="0"/>
      <c r="AO104" s="0"/>
      <c r="AP104" s="0"/>
      <c r="AQ104" s="0"/>
      <c r="AR104" s="0"/>
    </row>
    <row r="105" customFormat="false" ht="12.75" hidden="false" customHeight="false" outlineLevel="0" collapsed="false">
      <c r="B105" s="108" t="e">
        <f aca="false">([1]!edate,B104,1)</f>
        <v>#VALUE!</v>
      </c>
      <c r="C105" s="109" t="e">
        <f aca="false">IF($C$11="Physical",B106+24,B106)</f>
        <v>#VALUE!</v>
      </c>
      <c r="D105" s="110" t="n">
        <v>0</v>
      </c>
      <c r="E105" s="111" t="e">
        <f aca="false">VLOOKUP($B105,Model!$A$8:$E$289,5)</f>
        <v>#VALUE!</v>
      </c>
      <c r="F105" s="111" t="e">
        <f aca="false">VLOOKUP($B105,Model!$A$8:$F$289,6)</f>
        <v>#VALUE!</v>
      </c>
      <c r="G105" s="127" t="e">
        <f aca="false">VLOOKUP($B105,Model!$A$8:$AO$289,41)</f>
        <v>#VALUE!</v>
      </c>
      <c r="I105" s="113" t="n">
        <v>0</v>
      </c>
      <c r="J105" s="114" t="e">
        <f aca="false">VLOOKUP($B105,Curve_Fetch,3)</f>
        <v>#VALUE!</v>
      </c>
      <c r="K105" s="121" t="n">
        <f aca="false">K104</f>
        <v>0</v>
      </c>
      <c r="L105" s="116" t="e">
        <f aca="false">IF(Control!$Y$26=Control!$X$27,J105,I105)+K105</f>
        <v>#VALUE!</v>
      </c>
      <c r="M105" s="113" t="n">
        <v>0</v>
      </c>
      <c r="N105" s="114" t="e">
        <f aca="false">VLOOKUP($B105,Curve_Fetch,VLOOKUP(Control!$AJ$10,Control!$AI$11:$AK$22,3))</f>
        <v>#VALUE!</v>
      </c>
      <c r="O105" s="121" t="n">
        <f aca="false">O104</f>
        <v>0</v>
      </c>
      <c r="P105" s="116" t="e">
        <f aca="false">IF(Control!$Y$31=Control!$X$32,N105,M105)+O105</f>
        <v>#VALUE!</v>
      </c>
      <c r="Q105" s="113" t="n">
        <v>0</v>
      </c>
      <c r="R105" s="114" t="e">
        <f aca="false">VLOOKUP($B105,Curve_Fetch,(VLOOKUP(Control!$AJ$10,Control!$AI$11:$AL$22,4)))</f>
        <v>#VALUE!</v>
      </c>
      <c r="S105" s="121" t="n">
        <f aca="false">S104</f>
        <v>0</v>
      </c>
      <c r="T105" s="116" t="e">
        <f aca="false">IF($C$11="Physical",IF(Control!$Y$37=Control!$X$38,R105,Q105)+S105,0)</f>
        <v>#VALUE!</v>
      </c>
      <c r="U105" s="117" t="e">
        <f aca="false">IF($C$11="Financial",L105+P105,L105+P105+T105)</f>
        <v>#VALUE!</v>
      </c>
      <c r="V105" s="114"/>
      <c r="W105" s="118" t="e">
        <f aca="false">VLOOKUP($B105,Model!$A$8:$S$289,19)</f>
        <v>#VALUE!</v>
      </c>
      <c r="X105" s="120" t="n">
        <f aca="false">X104</f>
        <v>0</v>
      </c>
      <c r="Y105" s="120" t="e">
        <f aca="false">W105+X105</f>
        <v>#VALUE!</v>
      </c>
      <c r="Z105" s="121" t="n">
        <f aca="false">Z104</f>
        <v>0</v>
      </c>
      <c r="AA105" s="121" t="e">
        <f aca="false">U105+Z105</f>
        <v>#VALUE!</v>
      </c>
      <c r="AB105" s="128" t="e">
        <f aca="false">EURO(U105,AA105,VLOOKUP($B105,Curve_Fetch,2),VLOOKUP($B105,Curve_Fetch,2),Y105,VLOOKUP($B105,Model!$A$8:$R$289,18),IF(Euro!$C$10="Call",1,0),0)</f>
        <v>#VALUE!</v>
      </c>
      <c r="AD105" s="123" t="e">
        <f aca="false">$G105*L105</f>
        <v>#VALUE!</v>
      </c>
      <c r="AE105" s="124" t="e">
        <f aca="false">$G105*P105</f>
        <v>#VALUE!</v>
      </c>
      <c r="AF105" s="124" t="e">
        <f aca="false">$G105*T105</f>
        <v>#VALUE!</v>
      </c>
      <c r="AG105" s="124" t="e">
        <f aca="false">$G105*U105</f>
        <v>#VALUE!</v>
      </c>
      <c r="AH105" s="124" t="e">
        <f aca="false">$G105*AA105</f>
        <v>#VALUE!</v>
      </c>
      <c r="AI105" s="125" t="e">
        <f aca="false">$F105*AB105</f>
        <v>#VALUE!</v>
      </c>
      <c r="AK105" s="0"/>
      <c r="AL105" s="0"/>
      <c r="AM105" s="0"/>
      <c r="AN105" s="0"/>
      <c r="AO105" s="0"/>
      <c r="AP105" s="0"/>
      <c r="AQ105" s="0"/>
      <c r="AR105" s="0"/>
    </row>
    <row r="106" customFormat="false" ht="12.75" hidden="false" customHeight="false" outlineLevel="0" collapsed="false">
      <c r="B106" s="108" t="e">
        <f aca="false">([1]!edate,B105,1)</f>
        <v>#VALUE!</v>
      </c>
      <c r="C106" s="109" t="e">
        <f aca="false">IF($C$11="Physical",B107+24,B107)</f>
        <v>#VALUE!</v>
      </c>
      <c r="D106" s="110" t="n">
        <v>0</v>
      </c>
      <c r="E106" s="111" t="e">
        <f aca="false">VLOOKUP($B106,Model!$A$8:$E$289,5)</f>
        <v>#VALUE!</v>
      </c>
      <c r="F106" s="111" t="e">
        <f aca="false">VLOOKUP($B106,Model!$A$8:$F$289,6)</f>
        <v>#VALUE!</v>
      </c>
      <c r="G106" s="127" t="e">
        <f aca="false">VLOOKUP($B106,Model!$A$8:$AO$289,41)</f>
        <v>#VALUE!</v>
      </c>
      <c r="I106" s="113" t="n">
        <v>0</v>
      </c>
      <c r="J106" s="114" t="e">
        <f aca="false">VLOOKUP($B106,Curve_Fetch,3)</f>
        <v>#VALUE!</v>
      </c>
      <c r="K106" s="121" t="n">
        <f aca="false">K105</f>
        <v>0</v>
      </c>
      <c r="L106" s="116" t="e">
        <f aca="false">IF(Control!$Y$26=Control!$X$27,J106,I106)+K106</f>
        <v>#VALUE!</v>
      </c>
      <c r="M106" s="113" t="n">
        <v>0</v>
      </c>
      <c r="N106" s="114" t="e">
        <f aca="false">VLOOKUP($B106,Curve_Fetch,VLOOKUP(Control!$AJ$10,Control!$AI$11:$AK$22,3))</f>
        <v>#VALUE!</v>
      </c>
      <c r="O106" s="121" t="n">
        <f aca="false">O105</f>
        <v>0</v>
      </c>
      <c r="P106" s="116" t="e">
        <f aca="false">IF(Control!$Y$31=Control!$X$32,N106,M106)+O106</f>
        <v>#VALUE!</v>
      </c>
      <c r="Q106" s="113" t="n">
        <v>0</v>
      </c>
      <c r="R106" s="114" t="e">
        <f aca="false">VLOOKUP($B106,Curve_Fetch,(VLOOKUP(Control!$AJ$10,Control!$AI$11:$AL$22,4)))</f>
        <v>#VALUE!</v>
      </c>
      <c r="S106" s="121" t="n">
        <f aca="false">S105</f>
        <v>0</v>
      </c>
      <c r="T106" s="116" t="e">
        <f aca="false">IF($C$11="Physical",IF(Control!$Y$37=Control!$X$38,R106,Q106)+S106,0)</f>
        <v>#VALUE!</v>
      </c>
      <c r="U106" s="117" t="e">
        <f aca="false">IF($C$11="Financial",L106+P106,L106+P106+T106)</f>
        <v>#VALUE!</v>
      </c>
      <c r="V106" s="114"/>
      <c r="W106" s="118" t="e">
        <f aca="false">VLOOKUP($B106,Model!$A$8:$S$289,19)</f>
        <v>#VALUE!</v>
      </c>
      <c r="X106" s="120" t="n">
        <f aca="false">X105</f>
        <v>0</v>
      </c>
      <c r="Y106" s="120" t="e">
        <f aca="false">W106+X106</f>
        <v>#VALUE!</v>
      </c>
      <c r="Z106" s="121" t="n">
        <f aca="false">Z105</f>
        <v>0</v>
      </c>
      <c r="AA106" s="121" t="e">
        <f aca="false">U106+Z106</f>
        <v>#VALUE!</v>
      </c>
      <c r="AB106" s="128" t="e">
        <f aca="false">EURO(U106,AA106,VLOOKUP($B106,Curve_Fetch,2),VLOOKUP($B106,Curve_Fetch,2),Y106,VLOOKUP($B106,Model!$A$8:$R$289,18),IF(Euro!$C$10="Call",1,0),0)</f>
        <v>#VALUE!</v>
      </c>
      <c r="AD106" s="123" t="e">
        <f aca="false">$G106*L106</f>
        <v>#VALUE!</v>
      </c>
      <c r="AE106" s="124" t="e">
        <f aca="false">$G106*P106</f>
        <v>#VALUE!</v>
      </c>
      <c r="AF106" s="124" t="e">
        <f aca="false">$G106*T106</f>
        <v>#VALUE!</v>
      </c>
      <c r="AG106" s="124" t="e">
        <f aca="false">$G106*U106</f>
        <v>#VALUE!</v>
      </c>
      <c r="AH106" s="124" t="e">
        <f aca="false">$G106*AA106</f>
        <v>#VALUE!</v>
      </c>
      <c r="AI106" s="125" t="e">
        <f aca="false">$F106*AB106</f>
        <v>#VALUE!</v>
      </c>
      <c r="AK106" s="0"/>
      <c r="AL106" s="0"/>
      <c r="AM106" s="0"/>
      <c r="AN106" s="0"/>
      <c r="AO106" s="0"/>
      <c r="AP106" s="0"/>
      <c r="AQ106" s="0"/>
      <c r="AR106" s="0"/>
    </row>
    <row r="107" customFormat="false" ht="12.75" hidden="false" customHeight="false" outlineLevel="0" collapsed="false">
      <c r="B107" s="108" t="e">
        <f aca="false">([1]!edate,B106,1)</f>
        <v>#VALUE!</v>
      </c>
      <c r="C107" s="109" t="e">
        <f aca="false">IF($C$11="Physical",B108+24,B108)</f>
        <v>#VALUE!</v>
      </c>
      <c r="D107" s="110" t="n">
        <v>0</v>
      </c>
      <c r="E107" s="111" t="e">
        <f aca="false">VLOOKUP($B107,Model!$A$8:$E$289,5)</f>
        <v>#VALUE!</v>
      </c>
      <c r="F107" s="111" t="e">
        <f aca="false">VLOOKUP($B107,Model!$A$8:$F$289,6)</f>
        <v>#VALUE!</v>
      </c>
      <c r="G107" s="127" t="e">
        <f aca="false">VLOOKUP($B107,Model!$A$8:$AO$289,41)</f>
        <v>#VALUE!</v>
      </c>
      <c r="I107" s="113" t="n">
        <v>0</v>
      </c>
      <c r="J107" s="114" t="e">
        <f aca="false">VLOOKUP($B107,Curve_Fetch,3)</f>
        <v>#VALUE!</v>
      </c>
      <c r="K107" s="121" t="n">
        <f aca="false">K106</f>
        <v>0</v>
      </c>
      <c r="L107" s="116" t="e">
        <f aca="false">IF(Control!$Y$26=Control!$X$27,J107,I107)+K107</f>
        <v>#VALUE!</v>
      </c>
      <c r="M107" s="113" t="n">
        <v>0</v>
      </c>
      <c r="N107" s="114" t="e">
        <f aca="false">VLOOKUP($B107,Curve_Fetch,VLOOKUP(Control!$AJ$10,Control!$AI$11:$AK$22,3))</f>
        <v>#VALUE!</v>
      </c>
      <c r="O107" s="121" t="n">
        <f aca="false">O106</f>
        <v>0</v>
      </c>
      <c r="P107" s="116" t="e">
        <f aca="false">IF(Control!$Y$31=Control!$X$32,N107,M107)+O107</f>
        <v>#VALUE!</v>
      </c>
      <c r="Q107" s="113" t="n">
        <v>0</v>
      </c>
      <c r="R107" s="114" t="e">
        <f aca="false">VLOOKUP($B107,Curve_Fetch,(VLOOKUP(Control!$AJ$10,Control!$AI$11:$AL$22,4)))</f>
        <v>#VALUE!</v>
      </c>
      <c r="S107" s="121" t="n">
        <f aca="false">S106</f>
        <v>0</v>
      </c>
      <c r="T107" s="116" t="e">
        <f aca="false">IF($C$11="Physical",IF(Control!$Y$37=Control!$X$38,R107,Q107)+S107,0)</f>
        <v>#VALUE!</v>
      </c>
      <c r="U107" s="117" t="e">
        <f aca="false">IF($C$11="Financial",L107+P107,L107+P107+T107)</f>
        <v>#VALUE!</v>
      </c>
      <c r="V107" s="114"/>
      <c r="W107" s="118" t="e">
        <f aca="false">VLOOKUP($B107,Model!$A$8:$S$289,19)</f>
        <v>#VALUE!</v>
      </c>
      <c r="X107" s="120" t="n">
        <f aca="false">X106</f>
        <v>0</v>
      </c>
      <c r="Y107" s="120" t="e">
        <f aca="false">W107+X107</f>
        <v>#VALUE!</v>
      </c>
      <c r="Z107" s="121" t="n">
        <f aca="false">Z106</f>
        <v>0</v>
      </c>
      <c r="AA107" s="121" t="e">
        <f aca="false">U107+Z107</f>
        <v>#VALUE!</v>
      </c>
      <c r="AB107" s="128" t="e">
        <f aca="false">EURO(U107,AA107,VLOOKUP($B107,Curve_Fetch,2),VLOOKUP($B107,Curve_Fetch,2),Y107,VLOOKUP($B107,Model!$A$8:$R$289,18),IF(Euro!$C$10="Call",1,0),0)</f>
        <v>#VALUE!</v>
      </c>
      <c r="AD107" s="123" t="e">
        <f aca="false">$G107*L107</f>
        <v>#VALUE!</v>
      </c>
      <c r="AE107" s="124" t="e">
        <f aca="false">$G107*P107</f>
        <v>#VALUE!</v>
      </c>
      <c r="AF107" s="124" t="e">
        <f aca="false">$G107*T107</f>
        <v>#VALUE!</v>
      </c>
      <c r="AG107" s="124" t="e">
        <f aca="false">$G107*U107</f>
        <v>#VALUE!</v>
      </c>
      <c r="AH107" s="124" t="e">
        <f aca="false">$G107*AA107</f>
        <v>#VALUE!</v>
      </c>
      <c r="AI107" s="125" t="e">
        <f aca="false">$F107*AB107</f>
        <v>#VALUE!</v>
      </c>
      <c r="AK107" s="0"/>
      <c r="AL107" s="0"/>
      <c r="AM107" s="0"/>
      <c r="AN107" s="0"/>
      <c r="AO107" s="0"/>
      <c r="AP107" s="0"/>
      <c r="AQ107" s="0"/>
      <c r="AR107" s="0"/>
    </row>
    <row r="108" customFormat="false" ht="12.75" hidden="false" customHeight="false" outlineLevel="0" collapsed="false">
      <c r="B108" s="108" t="e">
        <f aca="false">([1]!edate,B107,1)</f>
        <v>#VALUE!</v>
      </c>
      <c r="C108" s="109" t="e">
        <f aca="false">IF($C$11="Physical",B109+24,B109)</f>
        <v>#VALUE!</v>
      </c>
      <c r="D108" s="110" t="n">
        <v>0</v>
      </c>
      <c r="E108" s="111" t="e">
        <f aca="false">VLOOKUP($B108,Model!$A$8:$E$289,5)</f>
        <v>#VALUE!</v>
      </c>
      <c r="F108" s="111" t="e">
        <f aca="false">VLOOKUP($B108,Model!$A$8:$F$289,6)</f>
        <v>#VALUE!</v>
      </c>
      <c r="G108" s="127" t="e">
        <f aca="false">VLOOKUP($B108,Model!$A$8:$AO$289,41)</f>
        <v>#VALUE!</v>
      </c>
      <c r="I108" s="113" t="n">
        <v>0</v>
      </c>
      <c r="J108" s="114" t="e">
        <f aca="false">VLOOKUP($B108,Curve_Fetch,3)</f>
        <v>#VALUE!</v>
      </c>
      <c r="K108" s="121" t="n">
        <f aca="false">K107</f>
        <v>0</v>
      </c>
      <c r="L108" s="116" t="e">
        <f aca="false">IF(Control!$Y$26=Control!$X$27,J108,I108)+K108</f>
        <v>#VALUE!</v>
      </c>
      <c r="M108" s="113" t="n">
        <v>0</v>
      </c>
      <c r="N108" s="114" t="e">
        <f aca="false">VLOOKUP($B108,Curve_Fetch,VLOOKUP(Control!$AJ$10,Control!$AI$11:$AK$22,3))</f>
        <v>#VALUE!</v>
      </c>
      <c r="O108" s="121" t="n">
        <f aca="false">O107</f>
        <v>0</v>
      </c>
      <c r="P108" s="116" t="e">
        <f aca="false">IF(Control!$Y$31=Control!$X$32,N108,M108)+O108</f>
        <v>#VALUE!</v>
      </c>
      <c r="Q108" s="113" t="n">
        <v>0</v>
      </c>
      <c r="R108" s="114" t="e">
        <f aca="false">VLOOKUP($B108,Curve_Fetch,(VLOOKUP(Control!$AJ$10,Control!$AI$11:$AL$22,4)))</f>
        <v>#VALUE!</v>
      </c>
      <c r="S108" s="121" t="n">
        <f aca="false">S107</f>
        <v>0</v>
      </c>
      <c r="T108" s="116" t="e">
        <f aca="false">IF($C$11="Physical",IF(Control!$Y$37=Control!$X$38,R108,Q108)+S108,0)</f>
        <v>#VALUE!</v>
      </c>
      <c r="U108" s="117" t="e">
        <f aca="false">IF($C$11="Financial",L108+P108,L108+P108+T108)</f>
        <v>#VALUE!</v>
      </c>
      <c r="V108" s="114"/>
      <c r="W108" s="118" t="e">
        <f aca="false">VLOOKUP($B108,Model!$A$8:$S$289,19)</f>
        <v>#VALUE!</v>
      </c>
      <c r="X108" s="120" t="n">
        <f aca="false">X107</f>
        <v>0</v>
      </c>
      <c r="Y108" s="120" t="e">
        <f aca="false">W108+X108</f>
        <v>#VALUE!</v>
      </c>
      <c r="Z108" s="121" t="n">
        <f aca="false">Z107</f>
        <v>0</v>
      </c>
      <c r="AA108" s="121" t="e">
        <f aca="false">U108+Z108</f>
        <v>#VALUE!</v>
      </c>
      <c r="AB108" s="128" t="e">
        <f aca="false">EURO(U108,AA108,VLOOKUP($B108,Curve_Fetch,2),VLOOKUP($B108,Curve_Fetch,2),Y108,VLOOKUP($B108,Model!$A$8:$R$289,18),IF(Euro!$C$10="Call",1,0),0)</f>
        <v>#VALUE!</v>
      </c>
      <c r="AD108" s="123" t="e">
        <f aca="false">$G108*L108</f>
        <v>#VALUE!</v>
      </c>
      <c r="AE108" s="124" t="e">
        <f aca="false">$G108*P108</f>
        <v>#VALUE!</v>
      </c>
      <c r="AF108" s="124" t="e">
        <f aca="false">$G108*T108</f>
        <v>#VALUE!</v>
      </c>
      <c r="AG108" s="124" t="e">
        <f aca="false">$G108*U108</f>
        <v>#VALUE!</v>
      </c>
      <c r="AH108" s="124" t="e">
        <f aca="false">$G108*AA108</f>
        <v>#VALUE!</v>
      </c>
      <c r="AI108" s="125" t="e">
        <f aca="false">$F108*AB108</f>
        <v>#VALUE!</v>
      </c>
      <c r="AK108" s="0"/>
      <c r="AL108" s="0"/>
      <c r="AM108" s="0"/>
      <c r="AN108" s="0"/>
      <c r="AO108" s="0"/>
      <c r="AP108" s="0"/>
      <c r="AQ108" s="0"/>
      <c r="AR108" s="0"/>
    </row>
    <row r="109" customFormat="false" ht="12.75" hidden="false" customHeight="false" outlineLevel="0" collapsed="false">
      <c r="B109" s="108" t="e">
        <f aca="false">([1]!edate,B108,1)</f>
        <v>#VALUE!</v>
      </c>
      <c r="C109" s="109" t="e">
        <f aca="false">IF($C$11="Physical",B110+24,B110)</f>
        <v>#VALUE!</v>
      </c>
      <c r="D109" s="110" t="n">
        <v>0</v>
      </c>
      <c r="E109" s="111" t="e">
        <f aca="false">VLOOKUP($B109,Model!$A$8:$E$289,5)</f>
        <v>#VALUE!</v>
      </c>
      <c r="F109" s="111" t="e">
        <f aca="false">VLOOKUP($B109,Model!$A$8:$F$289,6)</f>
        <v>#VALUE!</v>
      </c>
      <c r="G109" s="127" t="e">
        <f aca="false">VLOOKUP($B109,Model!$A$8:$AO$289,41)</f>
        <v>#VALUE!</v>
      </c>
      <c r="I109" s="113" t="n">
        <v>0</v>
      </c>
      <c r="J109" s="114" t="e">
        <f aca="false">VLOOKUP($B109,Curve_Fetch,3)</f>
        <v>#VALUE!</v>
      </c>
      <c r="K109" s="121" t="n">
        <f aca="false">K108</f>
        <v>0</v>
      </c>
      <c r="L109" s="116" t="e">
        <f aca="false">IF(Control!$Y$26=Control!$X$27,J109,I109)+K109</f>
        <v>#VALUE!</v>
      </c>
      <c r="M109" s="113" t="n">
        <v>0</v>
      </c>
      <c r="N109" s="114" t="e">
        <f aca="false">VLOOKUP($B109,Curve_Fetch,VLOOKUP(Control!$AJ$10,Control!$AI$11:$AK$22,3))</f>
        <v>#VALUE!</v>
      </c>
      <c r="O109" s="121" t="n">
        <f aca="false">O108</f>
        <v>0</v>
      </c>
      <c r="P109" s="116" t="e">
        <f aca="false">IF(Control!$Y$31=Control!$X$32,N109,M109)+O109</f>
        <v>#VALUE!</v>
      </c>
      <c r="Q109" s="113" t="n">
        <v>0</v>
      </c>
      <c r="R109" s="114" t="e">
        <f aca="false">VLOOKUP($B109,Curve_Fetch,(VLOOKUP(Control!$AJ$10,Control!$AI$11:$AL$22,4)))</f>
        <v>#VALUE!</v>
      </c>
      <c r="S109" s="121" t="n">
        <f aca="false">S108</f>
        <v>0</v>
      </c>
      <c r="T109" s="116" t="e">
        <f aca="false">IF($C$11="Physical",IF(Control!$Y$37=Control!$X$38,R109,Q109)+S109,0)</f>
        <v>#VALUE!</v>
      </c>
      <c r="U109" s="117" t="e">
        <f aca="false">IF($C$11="Financial",L109+P109,L109+P109+T109)</f>
        <v>#VALUE!</v>
      </c>
      <c r="V109" s="114"/>
      <c r="W109" s="118" t="e">
        <f aca="false">VLOOKUP($B109,Model!$A$8:$S$289,19)</f>
        <v>#VALUE!</v>
      </c>
      <c r="X109" s="120" t="n">
        <f aca="false">X108</f>
        <v>0</v>
      </c>
      <c r="Y109" s="120" t="e">
        <f aca="false">W109+X109</f>
        <v>#VALUE!</v>
      </c>
      <c r="Z109" s="121" t="n">
        <f aca="false">Z108</f>
        <v>0</v>
      </c>
      <c r="AA109" s="121" t="e">
        <f aca="false">U109+Z109</f>
        <v>#VALUE!</v>
      </c>
      <c r="AB109" s="128" t="e">
        <f aca="false">EURO(U109,AA109,VLOOKUP($B109,Curve_Fetch,2),VLOOKUP($B109,Curve_Fetch,2),Y109,VLOOKUP($B109,Model!$A$8:$R$289,18),IF(Euro!$C$10="Call",1,0),0)</f>
        <v>#VALUE!</v>
      </c>
      <c r="AD109" s="123" t="e">
        <f aca="false">$G109*L109</f>
        <v>#VALUE!</v>
      </c>
      <c r="AE109" s="124" t="e">
        <f aca="false">$G109*P109</f>
        <v>#VALUE!</v>
      </c>
      <c r="AF109" s="124" t="e">
        <f aca="false">$G109*T109</f>
        <v>#VALUE!</v>
      </c>
      <c r="AG109" s="124" t="e">
        <f aca="false">$G109*U109</f>
        <v>#VALUE!</v>
      </c>
      <c r="AH109" s="124" t="e">
        <f aca="false">$G109*AA109</f>
        <v>#VALUE!</v>
      </c>
      <c r="AI109" s="125" t="e">
        <f aca="false">$F109*AB109</f>
        <v>#VALUE!</v>
      </c>
      <c r="AK109" s="0"/>
      <c r="AL109" s="0"/>
      <c r="AM109" s="0"/>
      <c r="AN109" s="0"/>
      <c r="AO109" s="0"/>
      <c r="AP109" s="0"/>
      <c r="AQ109" s="0"/>
      <c r="AR109" s="0"/>
    </row>
    <row r="110" customFormat="false" ht="12.75" hidden="false" customHeight="false" outlineLevel="0" collapsed="false">
      <c r="B110" s="108" t="e">
        <f aca="false">([1]!edate,B109,1)</f>
        <v>#VALUE!</v>
      </c>
      <c r="C110" s="109" t="e">
        <f aca="false">IF($C$11="Physical",B111+24,B111)</f>
        <v>#VALUE!</v>
      </c>
      <c r="D110" s="110" t="n">
        <v>0</v>
      </c>
      <c r="E110" s="111" t="e">
        <f aca="false">VLOOKUP($B110,Model!$A$8:$E$289,5)</f>
        <v>#VALUE!</v>
      </c>
      <c r="F110" s="111" t="e">
        <f aca="false">VLOOKUP($B110,Model!$A$8:$F$289,6)</f>
        <v>#VALUE!</v>
      </c>
      <c r="G110" s="127" t="e">
        <f aca="false">VLOOKUP($B110,Model!$A$8:$AO$289,41)</f>
        <v>#VALUE!</v>
      </c>
      <c r="I110" s="113" t="n">
        <v>0</v>
      </c>
      <c r="J110" s="114" t="e">
        <f aca="false">VLOOKUP($B110,Curve_Fetch,3)</f>
        <v>#VALUE!</v>
      </c>
      <c r="K110" s="121" t="n">
        <f aca="false">K109</f>
        <v>0</v>
      </c>
      <c r="L110" s="116" t="e">
        <f aca="false">IF(Control!$Y$26=Control!$X$27,J110,I110)+K110</f>
        <v>#VALUE!</v>
      </c>
      <c r="M110" s="113" t="n">
        <v>0</v>
      </c>
      <c r="N110" s="114" t="e">
        <f aca="false">VLOOKUP($B110,Curve_Fetch,VLOOKUP(Control!$AJ$10,Control!$AI$11:$AK$22,3))</f>
        <v>#VALUE!</v>
      </c>
      <c r="O110" s="121" t="n">
        <f aca="false">O109</f>
        <v>0</v>
      </c>
      <c r="P110" s="116" t="e">
        <f aca="false">IF(Control!$Y$31=Control!$X$32,N110,M110)+O110</f>
        <v>#VALUE!</v>
      </c>
      <c r="Q110" s="113" t="n">
        <v>0</v>
      </c>
      <c r="R110" s="114" t="e">
        <f aca="false">VLOOKUP($B110,Curve_Fetch,(VLOOKUP(Control!$AJ$10,Control!$AI$11:$AL$22,4)))</f>
        <v>#VALUE!</v>
      </c>
      <c r="S110" s="121" t="n">
        <f aca="false">S109</f>
        <v>0</v>
      </c>
      <c r="T110" s="116" t="e">
        <f aca="false">IF($C$11="Physical",IF(Control!$Y$37=Control!$X$38,R110,Q110)+S110,0)</f>
        <v>#VALUE!</v>
      </c>
      <c r="U110" s="117" t="e">
        <f aca="false">IF($C$11="Financial",L110+P110,L110+P110+T110)</f>
        <v>#VALUE!</v>
      </c>
      <c r="V110" s="114"/>
      <c r="W110" s="118" t="e">
        <f aca="false">VLOOKUP($B110,Model!$A$8:$S$289,19)</f>
        <v>#VALUE!</v>
      </c>
      <c r="X110" s="120" t="n">
        <f aca="false">X109</f>
        <v>0</v>
      </c>
      <c r="Y110" s="120" t="e">
        <f aca="false">W110+X110</f>
        <v>#VALUE!</v>
      </c>
      <c r="Z110" s="121" t="n">
        <f aca="false">Z109</f>
        <v>0</v>
      </c>
      <c r="AA110" s="121" t="e">
        <f aca="false">U110+Z110</f>
        <v>#VALUE!</v>
      </c>
      <c r="AB110" s="128" t="e">
        <f aca="false">EURO(U110,AA110,VLOOKUP($B110,Curve_Fetch,2),VLOOKUP($B110,Curve_Fetch,2),Y110,VLOOKUP($B110,Model!$A$8:$R$289,18),IF(Euro!$C$10="Call",1,0),0)</f>
        <v>#VALUE!</v>
      </c>
      <c r="AD110" s="123" t="e">
        <f aca="false">$G110*L110</f>
        <v>#VALUE!</v>
      </c>
      <c r="AE110" s="124" t="e">
        <f aca="false">$G110*P110</f>
        <v>#VALUE!</v>
      </c>
      <c r="AF110" s="124" t="e">
        <f aca="false">$G110*T110</f>
        <v>#VALUE!</v>
      </c>
      <c r="AG110" s="124" t="e">
        <f aca="false">$G110*U110</f>
        <v>#VALUE!</v>
      </c>
      <c r="AH110" s="124" t="e">
        <f aca="false">$G110*AA110</f>
        <v>#VALUE!</v>
      </c>
      <c r="AI110" s="125" t="e">
        <f aca="false">$F110*AB110</f>
        <v>#VALUE!</v>
      </c>
      <c r="AK110" s="0"/>
      <c r="AL110" s="0"/>
      <c r="AM110" s="0"/>
      <c r="AN110" s="0"/>
      <c r="AO110" s="0"/>
      <c r="AP110" s="0"/>
      <c r="AQ110" s="0"/>
      <c r="AR110" s="0"/>
    </row>
    <row r="111" customFormat="false" ht="12.75" hidden="false" customHeight="false" outlineLevel="0" collapsed="false">
      <c r="B111" s="108" t="e">
        <f aca="false">([1]!edate,B110,1)</f>
        <v>#VALUE!</v>
      </c>
      <c r="C111" s="109" t="e">
        <f aca="false">IF($C$11="Physical",B112+24,B112)</f>
        <v>#VALUE!</v>
      </c>
      <c r="D111" s="110" t="n">
        <v>0</v>
      </c>
      <c r="E111" s="111" t="e">
        <f aca="false">VLOOKUP($B111,Model!$A$8:$E$289,5)</f>
        <v>#VALUE!</v>
      </c>
      <c r="F111" s="111" t="e">
        <f aca="false">VLOOKUP($B111,Model!$A$8:$F$289,6)</f>
        <v>#VALUE!</v>
      </c>
      <c r="G111" s="127" t="e">
        <f aca="false">VLOOKUP($B111,Model!$A$8:$AO$289,41)</f>
        <v>#VALUE!</v>
      </c>
      <c r="I111" s="113" t="n">
        <v>0</v>
      </c>
      <c r="J111" s="114" t="e">
        <f aca="false">VLOOKUP($B111,Curve_Fetch,3)</f>
        <v>#VALUE!</v>
      </c>
      <c r="K111" s="121" t="n">
        <f aca="false">K110</f>
        <v>0</v>
      </c>
      <c r="L111" s="116" t="e">
        <f aca="false">IF(Control!$Y$26=Control!$X$27,J111,I111)+K111</f>
        <v>#VALUE!</v>
      </c>
      <c r="M111" s="113" t="n">
        <v>0</v>
      </c>
      <c r="N111" s="114" t="e">
        <f aca="false">VLOOKUP($B111,Curve_Fetch,VLOOKUP(Control!$AJ$10,Control!$AI$11:$AK$22,3))</f>
        <v>#VALUE!</v>
      </c>
      <c r="O111" s="121" t="n">
        <f aca="false">O110</f>
        <v>0</v>
      </c>
      <c r="P111" s="116" t="e">
        <f aca="false">IF(Control!$Y$31=Control!$X$32,N111,M111)+O111</f>
        <v>#VALUE!</v>
      </c>
      <c r="Q111" s="113" t="n">
        <v>0</v>
      </c>
      <c r="R111" s="114" t="e">
        <f aca="false">VLOOKUP($B111,Curve_Fetch,(VLOOKUP(Control!$AJ$10,Control!$AI$11:$AL$22,4)))</f>
        <v>#VALUE!</v>
      </c>
      <c r="S111" s="121" t="n">
        <f aca="false">S110</f>
        <v>0</v>
      </c>
      <c r="T111" s="116" t="e">
        <f aca="false">IF($C$11="Physical",IF(Control!$Y$37=Control!$X$38,R111,Q111)+S111,0)</f>
        <v>#VALUE!</v>
      </c>
      <c r="U111" s="117" t="e">
        <f aca="false">IF($C$11="Financial",L111+P111,L111+P111+T111)</f>
        <v>#VALUE!</v>
      </c>
      <c r="V111" s="114"/>
      <c r="W111" s="118" t="e">
        <f aca="false">VLOOKUP($B111,Model!$A$8:$S$289,19)</f>
        <v>#VALUE!</v>
      </c>
      <c r="X111" s="120" t="n">
        <f aca="false">X110</f>
        <v>0</v>
      </c>
      <c r="Y111" s="120" t="e">
        <f aca="false">W111+X111</f>
        <v>#VALUE!</v>
      </c>
      <c r="Z111" s="121" t="n">
        <f aca="false">Z110</f>
        <v>0</v>
      </c>
      <c r="AA111" s="121" t="e">
        <f aca="false">U111+Z111</f>
        <v>#VALUE!</v>
      </c>
      <c r="AB111" s="128" t="e">
        <f aca="false">EURO(U111,AA111,VLOOKUP($B111,Curve_Fetch,2),VLOOKUP($B111,Curve_Fetch,2),Y111,VLOOKUP($B111,Model!$A$8:$R$289,18),IF(Euro!$C$10="Call",1,0),0)</f>
        <v>#VALUE!</v>
      </c>
      <c r="AD111" s="123" t="e">
        <f aca="false">$G111*L111</f>
        <v>#VALUE!</v>
      </c>
      <c r="AE111" s="124" t="e">
        <f aca="false">$G111*P111</f>
        <v>#VALUE!</v>
      </c>
      <c r="AF111" s="124" t="e">
        <f aca="false">$G111*T111</f>
        <v>#VALUE!</v>
      </c>
      <c r="AG111" s="124" t="e">
        <f aca="false">$G111*U111</f>
        <v>#VALUE!</v>
      </c>
      <c r="AH111" s="124" t="e">
        <f aca="false">$G111*AA111</f>
        <v>#VALUE!</v>
      </c>
      <c r="AI111" s="125" t="e">
        <f aca="false">$F111*AB111</f>
        <v>#VALUE!</v>
      </c>
      <c r="AK111" s="0"/>
      <c r="AL111" s="0"/>
      <c r="AM111" s="0"/>
      <c r="AN111" s="0"/>
      <c r="AO111" s="0"/>
      <c r="AP111" s="0"/>
      <c r="AQ111" s="0"/>
      <c r="AR111" s="0"/>
    </row>
    <row r="112" customFormat="false" ht="12.75" hidden="false" customHeight="false" outlineLevel="0" collapsed="false">
      <c r="B112" s="108" t="e">
        <f aca="false">([1]!edate,B111,1)</f>
        <v>#VALUE!</v>
      </c>
      <c r="C112" s="109" t="e">
        <f aca="false">IF($C$11="Physical",B113+24,B113)</f>
        <v>#VALUE!</v>
      </c>
      <c r="D112" s="110" t="n">
        <v>0</v>
      </c>
      <c r="E112" s="111" t="e">
        <f aca="false">VLOOKUP($B112,Model!$A$8:$E$289,5)</f>
        <v>#VALUE!</v>
      </c>
      <c r="F112" s="111" t="e">
        <f aca="false">VLOOKUP($B112,Model!$A$8:$F$289,6)</f>
        <v>#VALUE!</v>
      </c>
      <c r="G112" s="127" t="e">
        <f aca="false">VLOOKUP($B112,Model!$A$8:$AO$289,41)</f>
        <v>#VALUE!</v>
      </c>
      <c r="I112" s="113" t="n">
        <v>0</v>
      </c>
      <c r="J112" s="114" t="e">
        <f aca="false">VLOOKUP($B112,Curve_Fetch,3)</f>
        <v>#VALUE!</v>
      </c>
      <c r="K112" s="121" t="n">
        <f aca="false">K111</f>
        <v>0</v>
      </c>
      <c r="L112" s="116" t="e">
        <f aca="false">IF(Control!$Y$26=Control!$X$27,J112,I112)+K112</f>
        <v>#VALUE!</v>
      </c>
      <c r="M112" s="113" t="n">
        <v>0</v>
      </c>
      <c r="N112" s="114" t="e">
        <f aca="false">VLOOKUP($B112,Curve_Fetch,VLOOKUP(Control!$AJ$10,Control!$AI$11:$AK$22,3))</f>
        <v>#VALUE!</v>
      </c>
      <c r="O112" s="121" t="n">
        <f aca="false">O111</f>
        <v>0</v>
      </c>
      <c r="P112" s="116" t="e">
        <f aca="false">IF(Control!$Y$31=Control!$X$32,N112,M112)+O112</f>
        <v>#VALUE!</v>
      </c>
      <c r="Q112" s="113" t="n">
        <v>0</v>
      </c>
      <c r="R112" s="114" t="e">
        <f aca="false">VLOOKUP($B112,Curve_Fetch,(VLOOKUP(Control!$AJ$10,Control!$AI$11:$AL$22,4)))</f>
        <v>#VALUE!</v>
      </c>
      <c r="S112" s="121" t="n">
        <f aca="false">S111</f>
        <v>0</v>
      </c>
      <c r="T112" s="116" t="e">
        <f aca="false">IF($C$11="Physical",IF(Control!$Y$37=Control!$X$38,R112,Q112)+S112,0)</f>
        <v>#VALUE!</v>
      </c>
      <c r="U112" s="117" t="e">
        <f aca="false">IF($C$11="Financial",L112+P112,L112+P112+T112)</f>
        <v>#VALUE!</v>
      </c>
      <c r="V112" s="114"/>
      <c r="W112" s="118" t="e">
        <f aca="false">VLOOKUP($B112,Model!$A$8:$S$289,19)</f>
        <v>#VALUE!</v>
      </c>
      <c r="X112" s="120" t="n">
        <f aca="false">X111</f>
        <v>0</v>
      </c>
      <c r="Y112" s="120" t="e">
        <f aca="false">W112+X112</f>
        <v>#VALUE!</v>
      </c>
      <c r="Z112" s="121" t="n">
        <f aca="false">Z111</f>
        <v>0</v>
      </c>
      <c r="AA112" s="121" t="e">
        <f aca="false">U112+Z112</f>
        <v>#VALUE!</v>
      </c>
      <c r="AB112" s="128" t="e">
        <f aca="false">EURO(U112,AA112,VLOOKUP($B112,Curve_Fetch,2),VLOOKUP($B112,Curve_Fetch,2),Y112,VLOOKUP($B112,Model!$A$8:$R$289,18),IF(Euro!$C$10="Call",1,0),0)</f>
        <v>#VALUE!</v>
      </c>
      <c r="AD112" s="123" t="e">
        <f aca="false">$G112*L112</f>
        <v>#VALUE!</v>
      </c>
      <c r="AE112" s="124" t="e">
        <f aca="false">$G112*P112</f>
        <v>#VALUE!</v>
      </c>
      <c r="AF112" s="124" t="e">
        <f aca="false">$G112*T112</f>
        <v>#VALUE!</v>
      </c>
      <c r="AG112" s="124" t="e">
        <f aca="false">$G112*U112</f>
        <v>#VALUE!</v>
      </c>
      <c r="AH112" s="124" t="e">
        <f aca="false">$G112*AA112</f>
        <v>#VALUE!</v>
      </c>
      <c r="AI112" s="125" t="e">
        <f aca="false">$F112*AB112</f>
        <v>#VALUE!</v>
      </c>
      <c r="AK112" s="0"/>
      <c r="AL112" s="0"/>
      <c r="AM112" s="0"/>
      <c r="AN112" s="0"/>
      <c r="AO112" s="0"/>
      <c r="AP112" s="0"/>
      <c r="AQ112" s="0"/>
      <c r="AR112" s="0"/>
    </row>
    <row r="113" customFormat="false" ht="12.75" hidden="false" customHeight="false" outlineLevel="0" collapsed="false">
      <c r="B113" s="108" t="e">
        <f aca="false">([1]!edate,B112,1)</f>
        <v>#VALUE!</v>
      </c>
      <c r="C113" s="109" t="e">
        <f aca="false">IF($C$11="Physical",B114+24,B114)</f>
        <v>#VALUE!</v>
      </c>
      <c r="D113" s="110" t="n">
        <v>0</v>
      </c>
      <c r="E113" s="111" t="e">
        <f aca="false">VLOOKUP($B113,Model!$A$8:$E$289,5)</f>
        <v>#VALUE!</v>
      </c>
      <c r="F113" s="111" t="e">
        <f aca="false">VLOOKUP($B113,Model!$A$8:$F$289,6)</f>
        <v>#VALUE!</v>
      </c>
      <c r="G113" s="127" t="e">
        <f aca="false">VLOOKUP($B113,Model!$A$8:$AO$289,41)</f>
        <v>#VALUE!</v>
      </c>
      <c r="I113" s="113" t="n">
        <v>0</v>
      </c>
      <c r="J113" s="114" t="e">
        <f aca="false">VLOOKUP($B113,Curve_Fetch,3)</f>
        <v>#VALUE!</v>
      </c>
      <c r="K113" s="121" t="n">
        <f aca="false">K112</f>
        <v>0</v>
      </c>
      <c r="L113" s="116" t="e">
        <f aca="false">IF(Control!$Y$26=Control!$X$27,J113,I113)+K113</f>
        <v>#VALUE!</v>
      </c>
      <c r="M113" s="113" t="n">
        <v>0</v>
      </c>
      <c r="N113" s="114" t="e">
        <f aca="false">VLOOKUP($B113,Curve_Fetch,VLOOKUP(Control!$AJ$10,Control!$AI$11:$AK$22,3))</f>
        <v>#VALUE!</v>
      </c>
      <c r="O113" s="121" t="n">
        <f aca="false">O112</f>
        <v>0</v>
      </c>
      <c r="P113" s="116" t="e">
        <f aca="false">IF(Control!$Y$31=Control!$X$32,N113,M113)+O113</f>
        <v>#VALUE!</v>
      </c>
      <c r="Q113" s="113" t="n">
        <v>0</v>
      </c>
      <c r="R113" s="114" t="e">
        <f aca="false">VLOOKUP($B113,Curve_Fetch,(VLOOKUP(Control!$AJ$10,Control!$AI$11:$AL$22,4)))</f>
        <v>#VALUE!</v>
      </c>
      <c r="S113" s="121" t="n">
        <f aca="false">S112</f>
        <v>0</v>
      </c>
      <c r="T113" s="116" t="e">
        <f aca="false">IF($C$11="Physical",IF(Control!$Y$37=Control!$X$38,R113,Q113)+S113,0)</f>
        <v>#VALUE!</v>
      </c>
      <c r="U113" s="117" t="e">
        <f aca="false">IF($C$11="Financial",L113+P113,L113+P113+T113)</f>
        <v>#VALUE!</v>
      </c>
      <c r="V113" s="114"/>
      <c r="W113" s="118" t="e">
        <f aca="false">VLOOKUP($B113,Model!$A$8:$S$289,19)</f>
        <v>#VALUE!</v>
      </c>
      <c r="X113" s="120" t="n">
        <f aca="false">X112</f>
        <v>0</v>
      </c>
      <c r="Y113" s="120" t="e">
        <f aca="false">W113+X113</f>
        <v>#VALUE!</v>
      </c>
      <c r="Z113" s="121" t="n">
        <f aca="false">Z112</f>
        <v>0</v>
      </c>
      <c r="AA113" s="121" t="e">
        <f aca="false">U113+Z113</f>
        <v>#VALUE!</v>
      </c>
      <c r="AB113" s="128" t="e">
        <f aca="false">EURO(U113,AA113,VLOOKUP($B113,Curve_Fetch,2),VLOOKUP($B113,Curve_Fetch,2),Y113,VLOOKUP($B113,Model!$A$8:$R$289,18),IF(Euro!$C$10="Call",1,0),0)</f>
        <v>#VALUE!</v>
      </c>
      <c r="AD113" s="123" t="e">
        <f aca="false">$G113*L113</f>
        <v>#VALUE!</v>
      </c>
      <c r="AE113" s="124" t="e">
        <f aca="false">$G113*P113</f>
        <v>#VALUE!</v>
      </c>
      <c r="AF113" s="124" t="e">
        <f aca="false">$G113*T113</f>
        <v>#VALUE!</v>
      </c>
      <c r="AG113" s="124" t="e">
        <f aca="false">$G113*U113</f>
        <v>#VALUE!</v>
      </c>
      <c r="AH113" s="124" t="e">
        <f aca="false">$G113*AA113</f>
        <v>#VALUE!</v>
      </c>
      <c r="AI113" s="125" t="e">
        <f aca="false">$F113*AB113</f>
        <v>#VALUE!</v>
      </c>
      <c r="AK113" s="0"/>
      <c r="AL113" s="0"/>
      <c r="AM113" s="0"/>
      <c r="AN113" s="0"/>
      <c r="AO113" s="0"/>
      <c r="AP113" s="0"/>
      <c r="AQ113" s="0"/>
      <c r="AR113" s="0"/>
    </row>
    <row r="114" customFormat="false" ht="12.75" hidden="false" customHeight="false" outlineLevel="0" collapsed="false">
      <c r="B114" s="108" t="e">
        <f aca="false">([1]!edate,B113,1)</f>
        <v>#VALUE!</v>
      </c>
      <c r="C114" s="109" t="e">
        <f aca="false">IF($C$11="Physical",B115+24,B115)</f>
        <v>#VALUE!</v>
      </c>
      <c r="D114" s="110" t="n">
        <v>0</v>
      </c>
      <c r="E114" s="111" t="e">
        <f aca="false">VLOOKUP($B114,Model!$A$8:$E$289,5)</f>
        <v>#VALUE!</v>
      </c>
      <c r="F114" s="111" t="e">
        <f aca="false">VLOOKUP($B114,Model!$A$8:$F$289,6)</f>
        <v>#VALUE!</v>
      </c>
      <c r="G114" s="127" t="e">
        <f aca="false">VLOOKUP($B114,Model!$A$8:$AO$289,41)</f>
        <v>#VALUE!</v>
      </c>
      <c r="I114" s="113" t="n">
        <v>0</v>
      </c>
      <c r="J114" s="114" t="e">
        <f aca="false">VLOOKUP($B114,Curve_Fetch,3)</f>
        <v>#VALUE!</v>
      </c>
      <c r="K114" s="121" t="n">
        <f aca="false">K113</f>
        <v>0</v>
      </c>
      <c r="L114" s="116" t="e">
        <f aca="false">IF(Control!$Y$26=Control!$X$27,J114,I114)+K114</f>
        <v>#VALUE!</v>
      </c>
      <c r="M114" s="113" t="n">
        <v>0</v>
      </c>
      <c r="N114" s="114" t="e">
        <f aca="false">VLOOKUP($B114,Curve_Fetch,VLOOKUP(Control!$AJ$10,Control!$AI$11:$AK$22,3))</f>
        <v>#VALUE!</v>
      </c>
      <c r="O114" s="121" t="n">
        <f aca="false">O113</f>
        <v>0</v>
      </c>
      <c r="P114" s="116" t="e">
        <f aca="false">IF(Control!$Y$31=Control!$X$32,N114,M114)+O114</f>
        <v>#VALUE!</v>
      </c>
      <c r="Q114" s="113" t="n">
        <v>0</v>
      </c>
      <c r="R114" s="114" t="e">
        <f aca="false">VLOOKUP($B114,Curve_Fetch,(VLOOKUP(Control!$AJ$10,Control!$AI$11:$AL$22,4)))</f>
        <v>#VALUE!</v>
      </c>
      <c r="S114" s="121" t="n">
        <f aca="false">S113</f>
        <v>0</v>
      </c>
      <c r="T114" s="116" t="e">
        <f aca="false">IF($C$11="Physical",IF(Control!$Y$37=Control!$X$38,R114,Q114)+S114,0)</f>
        <v>#VALUE!</v>
      </c>
      <c r="U114" s="117" t="e">
        <f aca="false">IF($C$11="Financial",L114+P114,L114+P114+T114)</f>
        <v>#VALUE!</v>
      </c>
      <c r="V114" s="114"/>
      <c r="W114" s="118" t="e">
        <f aca="false">VLOOKUP($B114,Model!$A$8:$S$289,19)</f>
        <v>#VALUE!</v>
      </c>
      <c r="X114" s="120" t="n">
        <f aca="false">X113</f>
        <v>0</v>
      </c>
      <c r="Y114" s="120" t="e">
        <f aca="false">W114+X114</f>
        <v>#VALUE!</v>
      </c>
      <c r="Z114" s="121" t="n">
        <f aca="false">Z113</f>
        <v>0</v>
      </c>
      <c r="AA114" s="121" t="e">
        <f aca="false">U114+Z114</f>
        <v>#VALUE!</v>
      </c>
      <c r="AB114" s="128" t="e">
        <f aca="false">EURO(U114,AA114,VLOOKUP($B114,Curve_Fetch,2),VLOOKUP($B114,Curve_Fetch,2),Y114,VLOOKUP($B114,Model!$A$8:$R$289,18),IF(Euro!$C$10="Call",1,0),0)</f>
        <v>#VALUE!</v>
      </c>
      <c r="AD114" s="123" t="e">
        <f aca="false">$G114*L114</f>
        <v>#VALUE!</v>
      </c>
      <c r="AE114" s="124" t="e">
        <f aca="false">$G114*P114</f>
        <v>#VALUE!</v>
      </c>
      <c r="AF114" s="124" t="e">
        <f aca="false">$G114*T114</f>
        <v>#VALUE!</v>
      </c>
      <c r="AG114" s="124" t="e">
        <f aca="false">$G114*U114</f>
        <v>#VALUE!</v>
      </c>
      <c r="AH114" s="124" t="e">
        <f aca="false">$G114*AA114</f>
        <v>#VALUE!</v>
      </c>
      <c r="AI114" s="125" t="e">
        <f aca="false">$F114*AB114</f>
        <v>#VALUE!</v>
      </c>
      <c r="AK114" s="0"/>
      <c r="AL114" s="0"/>
      <c r="AM114" s="0"/>
      <c r="AN114" s="0"/>
      <c r="AO114" s="0"/>
      <c r="AP114" s="0"/>
      <c r="AQ114" s="0"/>
      <c r="AR114" s="0"/>
    </row>
    <row r="115" customFormat="false" ht="12.75" hidden="false" customHeight="false" outlineLevel="0" collapsed="false">
      <c r="B115" s="108" t="e">
        <f aca="false">([1]!edate,B114,1)</f>
        <v>#VALUE!</v>
      </c>
      <c r="C115" s="109" t="e">
        <f aca="false">IF($C$11="Physical",B116+24,B116)</f>
        <v>#VALUE!</v>
      </c>
      <c r="D115" s="110" t="n">
        <v>0</v>
      </c>
      <c r="E115" s="111" t="e">
        <f aca="false">VLOOKUP($B115,Model!$A$8:$E$289,5)</f>
        <v>#VALUE!</v>
      </c>
      <c r="F115" s="111" t="e">
        <f aca="false">VLOOKUP($B115,Model!$A$8:$F$289,6)</f>
        <v>#VALUE!</v>
      </c>
      <c r="G115" s="127" t="e">
        <f aca="false">VLOOKUP($B115,Model!$A$8:$AO$289,41)</f>
        <v>#VALUE!</v>
      </c>
      <c r="I115" s="113" t="n">
        <v>0</v>
      </c>
      <c r="J115" s="114" t="e">
        <f aca="false">VLOOKUP($B115,Curve_Fetch,3)</f>
        <v>#VALUE!</v>
      </c>
      <c r="K115" s="121" t="n">
        <f aca="false">K114</f>
        <v>0</v>
      </c>
      <c r="L115" s="116" t="e">
        <f aca="false">IF(Control!$Y$26=Control!$X$27,J115,I115)+K115</f>
        <v>#VALUE!</v>
      </c>
      <c r="M115" s="113" t="n">
        <v>0</v>
      </c>
      <c r="N115" s="114" t="e">
        <f aca="false">VLOOKUP($B115,Curve_Fetch,VLOOKUP(Control!$AJ$10,Control!$AI$11:$AK$22,3))</f>
        <v>#VALUE!</v>
      </c>
      <c r="O115" s="121" t="n">
        <f aca="false">O114</f>
        <v>0</v>
      </c>
      <c r="P115" s="116" t="e">
        <f aca="false">IF(Control!$Y$31=Control!$X$32,N115,M115)+O115</f>
        <v>#VALUE!</v>
      </c>
      <c r="Q115" s="113" t="n">
        <v>0</v>
      </c>
      <c r="R115" s="114" t="e">
        <f aca="false">VLOOKUP($B115,Curve_Fetch,(VLOOKUP(Control!$AJ$10,Control!$AI$11:$AL$22,4)))</f>
        <v>#VALUE!</v>
      </c>
      <c r="S115" s="121" t="n">
        <f aca="false">S114</f>
        <v>0</v>
      </c>
      <c r="T115" s="116" t="e">
        <f aca="false">IF($C$11="Physical",IF(Control!$Y$37=Control!$X$38,R115,Q115)+S115,0)</f>
        <v>#VALUE!</v>
      </c>
      <c r="U115" s="117" t="e">
        <f aca="false">IF($C$11="Financial",L115+P115,L115+P115+T115)</f>
        <v>#VALUE!</v>
      </c>
      <c r="V115" s="114"/>
      <c r="W115" s="118" t="e">
        <f aca="false">VLOOKUP($B115,Model!$A$8:$S$289,19)</f>
        <v>#VALUE!</v>
      </c>
      <c r="X115" s="120" t="n">
        <f aca="false">X114</f>
        <v>0</v>
      </c>
      <c r="Y115" s="120" t="e">
        <f aca="false">W115+X115</f>
        <v>#VALUE!</v>
      </c>
      <c r="Z115" s="121" t="n">
        <f aca="false">Z114</f>
        <v>0</v>
      </c>
      <c r="AA115" s="121" t="e">
        <f aca="false">U115+Z115</f>
        <v>#VALUE!</v>
      </c>
      <c r="AB115" s="128" t="e">
        <f aca="false">EURO(U115,AA115,VLOOKUP($B115,Curve_Fetch,2),VLOOKUP($B115,Curve_Fetch,2),Y115,VLOOKUP($B115,Model!$A$8:$R$289,18),IF(Euro!$C$10="Call",1,0),0)</f>
        <v>#VALUE!</v>
      </c>
      <c r="AD115" s="123" t="e">
        <f aca="false">$G115*L115</f>
        <v>#VALUE!</v>
      </c>
      <c r="AE115" s="124" t="e">
        <f aca="false">$G115*P115</f>
        <v>#VALUE!</v>
      </c>
      <c r="AF115" s="124" t="e">
        <f aca="false">$G115*T115</f>
        <v>#VALUE!</v>
      </c>
      <c r="AG115" s="124" t="e">
        <f aca="false">$G115*U115</f>
        <v>#VALUE!</v>
      </c>
      <c r="AH115" s="124" t="e">
        <f aca="false">$G115*AA115</f>
        <v>#VALUE!</v>
      </c>
      <c r="AI115" s="125" t="e">
        <f aca="false">$F115*AB115</f>
        <v>#VALUE!</v>
      </c>
      <c r="AK115" s="0"/>
      <c r="AL115" s="0"/>
      <c r="AM115" s="0"/>
      <c r="AN115" s="0"/>
      <c r="AO115" s="0"/>
      <c r="AP115" s="0"/>
      <c r="AQ115" s="0"/>
      <c r="AR115" s="0"/>
    </row>
    <row r="116" customFormat="false" ht="12.75" hidden="false" customHeight="false" outlineLevel="0" collapsed="false">
      <c r="B116" s="108" t="e">
        <f aca="false">([1]!edate,B115,1)</f>
        <v>#VALUE!</v>
      </c>
      <c r="C116" s="109" t="e">
        <f aca="false">IF($C$11="Physical",B117+24,B117)</f>
        <v>#VALUE!</v>
      </c>
      <c r="D116" s="110" t="n">
        <v>0</v>
      </c>
      <c r="E116" s="111" t="e">
        <f aca="false">VLOOKUP($B116,Model!$A$8:$E$289,5)</f>
        <v>#VALUE!</v>
      </c>
      <c r="F116" s="111" t="e">
        <f aca="false">VLOOKUP($B116,Model!$A$8:$F$289,6)</f>
        <v>#VALUE!</v>
      </c>
      <c r="G116" s="127" t="e">
        <f aca="false">VLOOKUP($B116,Model!$A$8:$AO$289,41)</f>
        <v>#VALUE!</v>
      </c>
      <c r="I116" s="113" t="n">
        <v>0</v>
      </c>
      <c r="J116" s="114" t="e">
        <f aca="false">VLOOKUP($B116,Curve_Fetch,3)</f>
        <v>#VALUE!</v>
      </c>
      <c r="K116" s="121" t="n">
        <f aca="false">K115</f>
        <v>0</v>
      </c>
      <c r="L116" s="116" t="e">
        <f aca="false">IF(Control!$Y$26=Control!$X$27,J116,I116)+K116</f>
        <v>#VALUE!</v>
      </c>
      <c r="M116" s="113" t="n">
        <v>0</v>
      </c>
      <c r="N116" s="114" t="e">
        <f aca="false">VLOOKUP($B116,Curve_Fetch,VLOOKUP(Control!$AJ$10,Control!$AI$11:$AK$22,3))</f>
        <v>#VALUE!</v>
      </c>
      <c r="O116" s="121" t="n">
        <f aca="false">O115</f>
        <v>0</v>
      </c>
      <c r="P116" s="116" t="e">
        <f aca="false">IF(Control!$Y$31=Control!$X$32,N116,M116)+O116</f>
        <v>#VALUE!</v>
      </c>
      <c r="Q116" s="113" t="n">
        <v>0</v>
      </c>
      <c r="R116" s="114" t="e">
        <f aca="false">VLOOKUP($B116,Curve_Fetch,(VLOOKUP(Control!$AJ$10,Control!$AI$11:$AL$22,4)))</f>
        <v>#VALUE!</v>
      </c>
      <c r="S116" s="121" t="n">
        <f aca="false">S115</f>
        <v>0</v>
      </c>
      <c r="T116" s="116" t="e">
        <f aca="false">IF($C$11="Physical",IF(Control!$Y$37=Control!$X$38,R116,Q116)+S116,0)</f>
        <v>#VALUE!</v>
      </c>
      <c r="U116" s="117" t="e">
        <f aca="false">IF($C$11="Financial",L116+P116,L116+P116+T116)</f>
        <v>#VALUE!</v>
      </c>
      <c r="V116" s="114"/>
      <c r="W116" s="118" t="e">
        <f aca="false">VLOOKUP($B116,Model!$A$8:$S$289,19)</f>
        <v>#VALUE!</v>
      </c>
      <c r="X116" s="120" t="n">
        <f aca="false">X115</f>
        <v>0</v>
      </c>
      <c r="Y116" s="120" t="e">
        <f aca="false">W116+X116</f>
        <v>#VALUE!</v>
      </c>
      <c r="Z116" s="121" t="n">
        <f aca="false">Z115</f>
        <v>0</v>
      </c>
      <c r="AA116" s="121" t="e">
        <f aca="false">U116+Z116</f>
        <v>#VALUE!</v>
      </c>
      <c r="AB116" s="128" t="e">
        <f aca="false">EURO(U116,AA116,VLOOKUP($B116,Curve_Fetch,2),VLOOKUP($B116,Curve_Fetch,2),Y116,VLOOKUP($B116,Model!$A$8:$R$289,18),IF(Euro!$C$10="Call",1,0),0)</f>
        <v>#VALUE!</v>
      </c>
      <c r="AD116" s="123" t="e">
        <f aca="false">$G116*L116</f>
        <v>#VALUE!</v>
      </c>
      <c r="AE116" s="124" t="e">
        <f aca="false">$G116*P116</f>
        <v>#VALUE!</v>
      </c>
      <c r="AF116" s="124" t="e">
        <f aca="false">$G116*T116</f>
        <v>#VALUE!</v>
      </c>
      <c r="AG116" s="124" t="e">
        <f aca="false">$G116*U116</f>
        <v>#VALUE!</v>
      </c>
      <c r="AH116" s="124" t="e">
        <f aca="false">$G116*AA116</f>
        <v>#VALUE!</v>
      </c>
      <c r="AI116" s="125" t="e">
        <f aca="false">$F116*AB116</f>
        <v>#VALUE!</v>
      </c>
      <c r="AK116" s="0"/>
      <c r="AL116" s="0"/>
      <c r="AM116" s="0"/>
      <c r="AN116" s="0"/>
      <c r="AO116" s="0"/>
      <c r="AP116" s="0"/>
      <c r="AQ116" s="0"/>
      <c r="AR116" s="0"/>
    </row>
    <row r="117" customFormat="false" ht="12.75" hidden="false" customHeight="false" outlineLevel="0" collapsed="false">
      <c r="B117" s="108" t="e">
        <f aca="false">([1]!edate,B116,1)</f>
        <v>#VALUE!</v>
      </c>
      <c r="C117" s="109" t="e">
        <f aca="false">IF($C$11="Physical",B118+24,B118)</f>
        <v>#VALUE!</v>
      </c>
      <c r="D117" s="110" t="n">
        <v>0</v>
      </c>
      <c r="E117" s="111" t="e">
        <f aca="false">VLOOKUP($B117,Model!$A$8:$E$289,5)</f>
        <v>#VALUE!</v>
      </c>
      <c r="F117" s="111" t="e">
        <f aca="false">VLOOKUP($B117,Model!$A$8:$F$289,6)</f>
        <v>#VALUE!</v>
      </c>
      <c r="G117" s="127" t="e">
        <f aca="false">VLOOKUP($B117,Model!$A$8:$AO$289,41)</f>
        <v>#VALUE!</v>
      </c>
      <c r="I117" s="113" t="n">
        <v>0</v>
      </c>
      <c r="J117" s="114" t="e">
        <f aca="false">VLOOKUP($B117,Curve_Fetch,3)</f>
        <v>#VALUE!</v>
      </c>
      <c r="K117" s="121" t="n">
        <f aca="false">K116</f>
        <v>0</v>
      </c>
      <c r="L117" s="116" t="e">
        <f aca="false">IF(Control!$Y$26=Control!$X$27,J117,I117)+K117</f>
        <v>#VALUE!</v>
      </c>
      <c r="M117" s="113" t="n">
        <v>0</v>
      </c>
      <c r="N117" s="114" t="e">
        <f aca="false">VLOOKUP($B117,Curve_Fetch,VLOOKUP(Control!$AJ$10,Control!$AI$11:$AK$22,3))</f>
        <v>#VALUE!</v>
      </c>
      <c r="O117" s="121" t="n">
        <f aca="false">O116</f>
        <v>0</v>
      </c>
      <c r="P117" s="116" t="e">
        <f aca="false">IF(Control!$Y$31=Control!$X$32,N117,M117)+O117</f>
        <v>#VALUE!</v>
      </c>
      <c r="Q117" s="113" t="n">
        <v>0</v>
      </c>
      <c r="R117" s="114" t="e">
        <f aca="false">VLOOKUP($B117,Curve_Fetch,(VLOOKUP(Control!$AJ$10,Control!$AI$11:$AL$22,4)))</f>
        <v>#VALUE!</v>
      </c>
      <c r="S117" s="121" t="n">
        <f aca="false">S116</f>
        <v>0</v>
      </c>
      <c r="T117" s="116" t="e">
        <f aca="false">IF($C$11="Physical",IF(Control!$Y$37=Control!$X$38,R117,Q117)+S117,0)</f>
        <v>#VALUE!</v>
      </c>
      <c r="U117" s="117" t="e">
        <f aca="false">IF($C$11="Financial",L117+P117,L117+P117+T117)</f>
        <v>#VALUE!</v>
      </c>
      <c r="V117" s="114"/>
      <c r="W117" s="118" t="e">
        <f aca="false">VLOOKUP($B117,Model!$A$8:$S$289,19)</f>
        <v>#VALUE!</v>
      </c>
      <c r="X117" s="120" t="n">
        <f aca="false">X116</f>
        <v>0</v>
      </c>
      <c r="Y117" s="120" t="e">
        <f aca="false">W117+X117</f>
        <v>#VALUE!</v>
      </c>
      <c r="Z117" s="121" t="n">
        <f aca="false">Z116</f>
        <v>0</v>
      </c>
      <c r="AA117" s="121" t="e">
        <f aca="false">U117+Z117</f>
        <v>#VALUE!</v>
      </c>
      <c r="AB117" s="128" t="e">
        <f aca="false">EURO(U117,AA117,VLOOKUP($B117,Curve_Fetch,2),VLOOKUP($B117,Curve_Fetch,2),Y117,VLOOKUP($B117,Model!$A$8:$R$289,18),IF(Euro!$C$10="Call",1,0),0)</f>
        <v>#VALUE!</v>
      </c>
      <c r="AD117" s="123" t="e">
        <f aca="false">$G117*L117</f>
        <v>#VALUE!</v>
      </c>
      <c r="AE117" s="124" t="e">
        <f aca="false">$G117*P117</f>
        <v>#VALUE!</v>
      </c>
      <c r="AF117" s="124" t="e">
        <f aca="false">$G117*T117</f>
        <v>#VALUE!</v>
      </c>
      <c r="AG117" s="124" t="e">
        <f aca="false">$G117*U117</f>
        <v>#VALUE!</v>
      </c>
      <c r="AH117" s="124" t="e">
        <f aca="false">$G117*AA117</f>
        <v>#VALUE!</v>
      </c>
      <c r="AI117" s="125" t="e">
        <f aca="false">$F117*AB117</f>
        <v>#VALUE!</v>
      </c>
      <c r="AK117" s="0"/>
      <c r="AL117" s="0"/>
      <c r="AM117" s="0"/>
      <c r="AN117" s="0"/>
      <c r="AO117" s="0"/>
      <c r="AP117" s="0"/>
      <c r="AQ117" s="0"/>
      <c r="AR117" s="0"/>
    </row>
    <row r="118" customFormat="false" ht="12.75" hidden="false" customHeight="false" outlineLevel="0" collapsed="false">
      <c r="B118" s="108" t="e">
        <f aca="false">([1]!edate,B117,1)</f>
        <v>#VALUE!</v>
      </c>
      <c r="C118" s="109" t="e">
        <f aca="false">IF($C$11="Physical",B119+24,B119)</f>
        <v>#VALUE!</v>
      </c>
      <c r="D118" s="110" t="n">
        <v>0</v>
      </c>
      <c r="E118" s="111" t="e">
        <f aca="false">VLOOKUP($B118,Model!$A$8:$E$289,5)</f>
        <v>#VALUE!</v>
      </c>
      <c r="F118" s="111" t="e">
        <f aca="false">VLOOKUP($B118,Model!$A$8:$F$289,6)</f>
        <v>#VALUE!</v>
      </c>
      <c r="G118" s="127" t="e">
        <f aca="false">VLOOKUP($B118,Model!$A$8:$AO$289,41)</f>
        <v>#VALUE!</v>
      </c>
      <c r="I118" s="113" t="n">
        <v>0</v>
      </c>
      <c r="J118" s="114" t="e">
        <f aca="false">VLOOKUP($B118,Curve_Fetch,3)</f>
        <v>#VALUE!</v>
      </c>
      <c r="K118" s="121" t="n">
        <f aca="false">K117</f>
        <v>0</v>
      </c>
      <c r="L118" s="116" t="e">
        <f aca="false">IF(Control!$Y$26=Control!$X$27,J118,I118)+K118</f>
        <v>#VALUE!</v>
      </c>
      <c r="M118" s="113" t="n">
        <v>0</v>
      </c>
      <c r="N118" s="114" t="e">
        <f aca="false">VLOOKUP($B118,Curve_Fetch,VLOOKUP(Control!$AJ$10,Control!$AI$11:$AK$22,3))</f>
        <v>#VALUE!</v>
      </c>
      <c r="O118" s="121" t="n">
        <f aca="false">O117</f>
        <v>0</v>
      </c>
      <c r="P118" s="116" t="e">
        <f aca="false">IF(Control!$Y$31=Control!$X$32,N118,M118)+O118</f>
        <v>#VALUE!</v>
      </c>
      <c r="Q118" s="113" t="n">
        <v>0</v>
      </c>
      <c r="R118" s="114" t="e">
        <f aca="false">VLOOKUP($B118,Curve_Fetch,(VLOOKUP(Control!$AJ$10,Control!$AI$11:$AL$22,4)))</f>
        <v>#VALUE!</v>
      </c>
      <c r="S118" s="121" t="n">
        <f aca="false">S117</f>
        <v>0</v>
      </c>
      <c r="T118" s="116" t="e">
        <f aca="false">IF($C$11="Physical",IF(Control!$Y$37=Control!$X$38,R118,Q118)+S118,0)</f>
        <v>#VALUE!</v>
      </c>
      <c r="U118" s="117" t="e">
        <f aca="false">IF($C$11="Financial",L118+P118,L118+P118+T118)</f>
        <v>#VALUE!</v>
      </c>
      <c r="V118" s="114"/>
      <c r="W118" s="118" t="e">
        <f aca="false">VLOOKUP($B118,Model!$A$8:$S$289,19)</f>
        <v>#VALUE!</v>
      </c>
      <c r="X118" s="120" t="n">
        <f aca="false">X117</f>
        <v>0</v>
      </c>
      <c r="Y118" s="120" t="e">
        <f aca="false">W118+X118</f>
        <v>#VALUE!</v>
      </c>
      <c r="Z118" s="121" t="n">
        <f aca="false">Z117</f>
        <v>0</v>
      </c>
      <c r="AA118" s="121" t="e">
        <f aca="false">U118+Z118</f>
        <v>#VALUE!</v>
      </c>
      <c r="AB118" s="128" t="e">
        <f aca="false">EURO(U118,AA118,VLOOKUP($B118,Curve_Fetch,2),VLOOKUP($B118,Curve_Fetch,2),Y118,VLOOKUP($B118,Model!$A$8:$R$289,18),IF(Euro!$C$10="Call",1,0),0)</f>
        <v>#VALUE!</v>
      </c>
      <c r="AD118" s="123" t="e">
        <f aca="false">$G118*L118</f>
        <v>#VALUE!</v>
      </c>
      <c r="AE118" s="124" t="e">
        <f aca="false">$G118*P118</f>
        <v>#VALUE!</v>
      </c>
      <c r="AF118" s="124" t="e">
        <f aca="false">$G118*T118</f>
        <v>#VALUE!</v>
      </c>
      <c r="AG118" s="124" t="e">
        <f aca="false">$G118*U118</f>
        <v>#VALUE!</v>
      </c>
      <c r="AH118" s="124" t="e">
        <f aca="false">$G118*AA118</f>
        <v>#VALUE!</v>
      </c>
      <c r="AI118" s="125" t="e">
        <f aca="false">$F118*AB118</f>
        <v>#VALUE!</v>
      </c>
      <c r="AK118" s="0"/>
      <c r="AL118" s="0"/>
      <c r="AM118" s="0"/>
      <c r="AN118" s="0"/>
      <c r="AO118" s="0"/>
      <c r="AP118" s="0"/>
      <c r="AQ118" s="0"/>
      <c r="AR118" s="0"/>
    </row>
    <row r="119" customFormat="false" ht="12.75" hidden="false" customHeight="false" outlineLevel="0" collapsed="false">
      <c r="B119" s="108" t="e">
        <f aca="false">([1]!edate,B118,1)</f>
        <v>#VALUE!</v>
      </c>
      <c r="C119" s="109" t="e">
        <f aca="false">IF($C$11="Physical",B120+24,B120)</f>
        <v>#VALUE!</v>
      </c>
      <c r="D119" s="110" t="n">
        <v>0</v>
      </c>
      <c r="E119" s="111" t="e">
        <f aca="false">VLOOKUP($B119,Model!$A$8:$E$289,5)</f>
        <v>#VALUE!</v>
      </c>
      <c r="F119" s="111" t="e">
        <f aca="false">VLOOKUP($B119,Model!$A$8:$F$289,6)</f>
        <v>#VALUE!</v>
      </c>
      <c r="G119" s="127" t="e">
        <f aca="false">VLOOKUP($B119,Model!$A$8:$AO$289,41)</f>
        <v>#VALUE!</v>
      </c>
      <c r="I119" s="113" t="n">
        <v>0</v>
      </c>
      <c r="J119" s="114" t="e">
        <f aca="false">VLOOKUP($B119,Curve_Fetch,3)</f>
        <v>#VALUE!</v>
      </c>
      <c r="K119" s="121" t="n">
        <f aca="false">K118</f>
        <v>0</v>
      </c>
      <c r="L119" s="116" t="e">
        <f aca="false">IF(Control!$Y$26=Control!$X$27,J119,I119)+K119</f>
        <v>#VALUE!</v>
      </c>
      <c r="M119" s="113" t="n">
        <v>0</v>
      </c>
      <c r="N119" s="114" t="e">
        <f aca="false">VLOOKUP($B119,Curve_Fetch,VLOOKUP(Control!$AJ$10,Control!$AI$11:$AK$22,3))</f>
        <v>#VALUE!</v>
      </c>
      <c r="O119" s="121" t="n">
        <f aca="false">O118</f>
        <v>0</v>
      </c>
      <c r="P119" s="116" t="e">
        <f aca="false">IF(Control!$Y$31=Control!$X$32,N119,M119)+O119</f>
        <v>#VALUE!</v>
      </c>
      <c r="Q119" s="113" t="n">
        <v>0</v>
      </c>
      <c r="R119" s="114" t="e">
        <f aca="false">VLOOKUP($B119,Curve_Fetch,(VLOOKUP(Control!$AJ$10,Control!$AI$11:$AL$22,4)))</f>
        <v>#VALUE!</v>
      </c>
      <c r="S119" s="121" t="n">
        <f aca="false">S118</f>
        <v>0</v>
      </c>
      <c r="T119" s="116" t="e">
        <f aca="false">IF($C$11="Physical",IF(Control!$Y$37=Control!$X$38,R119,Q119)+S119,0)</f>
        <v>#VALUE!</v>
      </c>
      <c r="U119" s="117" t="e">
        <f aca="false">IF($C$11="Financial",L119+P119,L119+P119+T119)</f>
        <v>#VALUE!</v>
      </c>
      <c r="V119" s="114"/>
      <c r="W119" s="118" t="e">
        <f aca="false">VLOOKUP($B119,Model!$A$8:$S$289,19)</f>
        <v>#VALUE!</v>
      </c>
      <c r="X119" s="120" t="n">
        <f aca="false">X118</f>
        <v>0</v>
      </c>
      <c r="Y119" s="120" t="e">
        <f aca="false">W119+X119</f>
        <v>#VALUE!</v>
      </c>
      <c r="Z119" s="121" t="n">
        <f aca="false">Z118</f>
        <v>0</v>
      </c>
      <c r="AA119" s="121" t="e">
        <f aca="false">U119+Z119</f>
        <v>#VALUE!</v>
      </c>
      <c r="AB119" s="128" t="e">
        <f aca="false">EURO(U119,AA119,VLOOKUP($B119,Curve_Fetch,2),VLOOKUP($B119,Curve_Fetch,2),Y119,VLOOKUP($B119,Model!$A$8:$R$289,18),IF(Euro!$C$10="Call",1,0),0)</f>
        <v>#VALUE!</v>
      </c>
      <c r="AD119" s="123" t="e">
        <f aca="false">$G119*L119</f>
        <v>#VALUE!</v>
      </c>
      <c r="AE119" s="124" t="e">
        <f aca="false">$G119*P119</f>
        <v>#VALUE!</v>
      </c>
      <c r="AF119" s="124" t="e">
        <f aca="false">$G119*T119</f>
        <v>#VALUE!</v>
      </c>
      <c r="AG119" s="124" t="e">
        <f aca="false">$G119*U119</f>
        <v>#VALUE!</v>
      </c>
      <c r="AH119" s="124" t="e">
        <f aca="false">$G119*AA119</f>
        <v>#VALUE!</v>
      </c>
      <c r="AI119" s="125" t="e">
        <f aca="false">$F119*AB119</f>
        <v>#VALUE!</v>
      </c>
      <c r="AK119" s="0"/>
      <c r="AL119" s="0"/>
      <c r="AM119" s="0"/>
      <c r="AN119" s="0"/>
      <c r="AO119" s="0"/>
      <c r="AP119" s="0"/>
      <c r="AQ119" s="0"/>
      <c r="AR119" s="0"/>
    </row>
    <row r="120" customFormat="false" ht="12.75" hidden="false" customHeight="false" outlineLevel="0" collapsed="false">
      <c r="B120" s="108" t="e">
        <f aca="false">([1]!edate,B119,1)</f>
        <v>#VALUE!</v>
      </c>
      <c r="C120" s="109" t="e">
        <f aca="false">IF($C$11="Physical",B121+24,B121)</f>
        <v>#VALUE!</v>
      </c>
      <c r="D120" s="110" t="n">
        <v>0</v>
      </c>
      <c r="E120" s="111" t="e">
        <f aca="false">VLOOKUP($B120,Model!$A$8:$E$289,5)</f>
        <v>#VALUE!</v>
      </c>
      <c r="F120" s="111" t="e">
        <f aca="false">VLOOKUP($B120,Model!$A$8:$F$289,6)</f>
        <v>#VALUE!</v>
      </c>
      <c r="G120" s="127" t="e">
        <f aca="false">VLOOKUP($B120,Model!$A$8:$AO$289,41)</f>
        <v>#VALUE!</v>
      </c>
      <c r="I120" s="113" t="n">
        <v>0</v>
      </c>
      <c r="J120" s="114" t="e">
        <f aca="false">VLOOKUP($B120,Curve_Fetch,3)</f>
        <v>#VALUE!</v>
      </c>
      <c r="K120" s="121" t="n">
        <f aca="false">K119</f>
        <v>0</v>
      </c>
      <c r="L120" s="116" t="e">
        <f aca="false">IF(Control!$Y$26=Control!$X$27,J120,I120)+K120</f>
        <v>#VALUE!</v>
      </c>
      <c r="M120" s="113" t="n">
        <v>0</v>
      </c>
      <c r="N120" s="114" t="e">
        <f aca="false">VLOOKUP($B120,Curve_Fetch,VLOOKUP(Control!$AJ$10,Control!$AI$11:$AK$22,3))</f>
        <v>#VALUE!</v>
      </c>
      <c r="O120" s="121" t="n">
        <f aca="false">O119</f>
        <v>0</v>
      </c>
      <c r="P120" s="116" t="e">
        <f aca="false">IF(Control!$Y$31=Control!$X$32,N120,M120)+O120</f>
        <v>#VALUE!</v>
      </c>
      <c r="Q120" s="113" t="n">
        <v>0</v>
      </c>
      <c r="R120" s="114" t="e">
        <f aca="false">VLOOKUP($B120,Curve_Fetch,(VLOOKUP(Control!$AJ$10,Control!$AI$11:$AL$22,4)))</f>
        <v>#VALUE!</v>
      </c>
      <c r="S120" s="121" t="n">
        <f aca="false">S119</f>
        <v>0</v>
      </c>
      <c r="T120" s="116" t="e">
        <f aca="false">IF($C$11="Physical",IF(Control!$Y$37=Control!$X$38,R120,Q120)+S120,0)</f>
        <v>#VALUE!</v>
      </c>
      <c r="U120" s="117" t="e">
        <f aca="false">IF($C$11="Financial",L120+P120,L120+P120+T120)</f>
        <v>#VALUE!</v>
      </c>
      <c r="V120" s="114"/>
      <c r="W120" s="118" t="e">
        <f aca="false">VLOOKUP($B120,Model!$A$8:$S$289,19)</f>
        <v>#VALUE!</v>
      </c>
      <c r="X120" s="120" t="n">
        <f aca="false">X119</f>
        <v>0</v>
      </c>
      <c r="Y120" s="120" t="e">
        <f aca="false">W120+X120</f>
        <v>#VALUE!</v>
      </c>
      <c r="Z120" s="121" t="n">
        <f aca="false">Z119</f>
        <v>0</v>
      </c>
      <c r="AA120" s="121" t="e">
        <f aca="false">U120+Z120</f>
        <v>#VALUE!</v>
      </c>
      <c r="AB120" s="128" t="e">
        <f aca="false">EURO(U120,AA120,VLOOKUP($B120,Curve_Fetch,2),VLOOKUP($B120,Curve_Fetch,2),Y120,VLOOKUP($B120,Model!$A$8:$R$289,18),IF(Euro!$C$10="Call",1,0),0)</f>
        <v>#VALUE!</v>
      </c>
      <c r="AD120" s="123" t="e">
        <f aca="false">$G120*L120</f>
        <v>#VALUE!</v>
      </c>
      <c r="AE120" s="124" t="e">
        <f aca="false">$G120*P120</f>
        <v>#VALUE!</v>
      </c>
      <c r="AF120" s="124" t="e">
        <f aca="false">$G120*T120</f>
        <v>#VALUE!</v>
      </c>
      <c r="AG120" s="124" t="e">
        <f aca="false">$G120*U120</f>
        <v>#VALUE!</v>
      </c>
      <c r="AH120" s="124" t="e">
        <f aca="false">$G120*AA120</f>
        <v>#VALUE!</v>
      </c>
      <c r="AI120" s="125" t="e">
        <f aca="false">$F120*AB120</f>
        <v>#VALUE!</v>
      </c>
      <c r="AK120" s="0"/>
      <c r="AL120" s="0"/>
      <c r="AM120" s="0"/>
      <c r="AN120" s="0"/>
      <c r="AO120" s="0"/>
      <c r="AP120" s="0"/>
      <c r="AQ120" s="0"/>
      <c r="AR120" s="0"/>
    </row>
    <row r="121" customFormat="false" ht="12.75" hidden="false" customHeight="false" outlineLevel="0" collapsed="false">
      <c r="B121" s="108" t="e">
        <f aca="false">([1]!edate,B120,1)</f>
        <v>#VALUE!</v>
      </c>
      <c r="C121" s="109" t="e">
        <f aca="false">IF($C$11="Physical",B122+24,B122)</f>
        <v>#VALUE!</v>
      </c>
      <c r="D121" s="110" t="n">
        <v>0</v>
      </c>
      <c r="E121" s="111" t="e">
        <f aca="false">VLOOKUP($B121,Model!$A$8:$E$289,5)</f>
        <v>#VALUE!</v>
      </c>
      <c r="F121" s="111" t="e">
        <f aca="false">VLOOKUP($B121,Model!$A$8:$F$289,6)</f>
        <v>#VALUE!</v>
      </c>
      <c r="G121" s="127" t="e">
        <f aca="false">VLOOKUP($B121,Model!$A$8:$AO$289,41)</f>
        <v>#VALUE!</v>
      </c>
      <c r="I121" s="113" t="n">
        <v>0</v>
      </c>
      <c r="J121" s="114" t="e">
        <f aca="false">VLOOKUP($B121,Curve_Fetch,3)</f>
        <v>#VALUE!</v>
      </c>
      <c r="K121" s="121" t="n">
        <f aca="false">K120</f>
        <v>0</v>
      </c>
      <c r="L121" s="116" t="e">
        <f aca="false">IF(Control!$Y$26=Control!$X$27,J121,I121)+K121</f>
        <v>#VALUE!</v>
      </c>
      <c r="M121" s="113" t="n">
        <v>0</v>
      </c>
      <c r="N121" s="114" t="e">
        <f aca="false">VLOOKUP($B121,Curve_Fetch,VLOOKUP(Control!$AJ$10,Control!$AI$11:$AK$22,3))</f>
        <v>#VALUE!</v>
      </c>
      <c r="O121" s="121" t="n">
        <f aca="false">O120</f>
        <v>0</v>
      </c>
      <c r="P121" s="116" t="e">
        <f aca="false">IF(Control!$Y$31=Control!$X$32,N121,M121)+O121</f>
        <v>#VALUE!</v>
      </c>
      <c r="Q121" s="113" t="n">
        <v>0</v>
      </c>
      <c r="R121" s="114" t="e">
        <f aca="false">VLOOKUP($B121,Curve_Fetch,(VLOOKUP(Control!$AJ$10,Control!$AI$11:$AL$22,4)))</f>
        <v>#VALUE!</v>
      </c>
      <c r="S121" s="121" t="n">
        <f aca="false">S120</f>
        <v>0</v>
      </c>
      <c r="T121" s="116" t="e">
        <f aca="false">IF($C$11="Physical",IF(Control!$Y$37=Control!$X$38,R121,Q121)+S121,0)</f>
        <v>#VALUE!</v>
      </c>
      <c r="U121" s="117" t="e">
        <f aca="false">IF($C$11="Financial",L121+P121,L121+P121+T121)</f>
        <v>#VALUE!</v>
      </c>
      <c r="V121" s="114"/>
      <c r="W121" s="118" t="e">
        <f aca="false">VLOOKUP($B121,Model!$A$8:$S$289,19)</f>
        <v>#VALUE!</v>
      </c>
      <c r="X121" s="120" t="n">
        <f aca="false">X120</f>
        <v>0</v>
      </c>
      <c r="Y121" s="120" t="e">
        <f aca="false">W121+X121</f>
        <v>#VALUE!</v>
      </c>
      <c r="Z121" s="121" t="n">
        <f aca="false">Z120</f>
        <v>0</v>
      </c>
      <c r="AA121" s="121" t="e">
        <f aca="false">U121+Z121</f>
        <v>#VALUE!</v>
      </c>
      <c r="AB121" s="128" t="e">
        <f aca="false">EURO(U121,AA121,VLOOKUP($B121,Curve_Fetch,2),VLOOKUP($B121,Curve_Fetch,2),Y121,VLOOKUP($B121,Model!$A$8:$R$289,18),IF(Euro!$C$10="Call",1,0),0)</f>
        <v>#VALUE!</v>
      </c>
      <c r="AD121" s="123" t="e">
        <f aca="false">$G121*L121</f>
        <v>#VALUE!</v>
      </c>
      <c r="AE121" s="124" t="e">
        <f aca="false">$G121*P121</f>
        <v>#VALUE!</v>
      </c>
      <c r="AF121" s="124" t="e">
        <f aca="false">$G121*T121</f>
        <v>#VALUE!</v>
      </c>
      <c r="AG121" s="124" t="e">
        <f aca="false">$G121*U121</f>
        <v>#VALUE!</v>
      </c>
      <c r="AH121" s="124" t="e">
        <f aca="false">$G121*AA121</f>
        <v>#VALUE!</v>
      </c>
      <c r="AI121" s="125" t="e">
        <f aca="false">$F121*AB121</f>
        <v>#VALUE!</v>
      </c>
      <c r="AK121" s="0"/>
      <c r="AL121" s="0"/>
      <c r="AM121" s="0"/>
      <c r="AN121" s="0"/>
      <c r="AO121" s="0"/>
      <c r="AP121" s="0"/>
      <c r="AQ121" s="0"/>
      <c r="AR121" s="0"/>
    </row>
    <row r="122" customFormat="false" ht="12.75" hidden="false" customHeight="false" outlineLevel="0" collapsed="false">
      <c r="B122" s="108" t="e">
        <f aca="false">([1]!edate,B121,1)</f>
        <v>#VALUE!</v>
      </c>
      <c r="C122" s="109" t="e">
        <f aca="false">IF($C$11="Physical",B123+24,B123)</f>
        <v>#VALUE!</v>
      </c>
      <c r="D122" s="110" t="n">
        <v>0</v>
      </c>
      <c r="E122" s="111" t="e">
        <f aca="false">VLOOKUP($B122,Model!$A$8:$E$289,5)</f>
        <v>#VALUE!</v>
      </c>
      <c r="F122" s="111" t="e">
        <f aca="false">VLOOKUP($B122,Model!$A$8:$F$289,6)</f>
        <v>#VALUE!</v>
      </c>
      <c r="G122" s="127" t="e">
        <f aca="false">VLOOKUP($B122,Model!$A$8:$AO$289,41)</f>
        <v>#VALUE!</v>
      </c>
      <c r="I122" s="113" t="n">
        <v>0</v>
      </c>
      <c r="J122" s="114" t="e">
        <f aca="false">VLOOKUP($B122,Curve_Fetch,3)</f>
        <v>#VALUE!</v>
      </c>
      <c r="K122" s="121" t="n">
        <f aca="false">K121</f>
        <v>0</v>
      </c>
      <c r="L122" s="116" t="e">
        <f aca="false">IF(Control!$Y$26=Control!$X$27,J122,I122)+K122</f>
        <v>#VALUE!</v>
      </c>
      <c r="M122" s="113" t="n">
        <v>0</v>
      </c>
      <c r="N122" s="114" t="e">
        <f aca="false">VLOOKUP($B122,Curve_Fetch,VLOOKUP(Control!$AJ$10,Control!$AI$11:$AK$22,3))</f>
        <v>#VALUE!</v>
      </c>
      <c r="O122" s="121" t="n">
        <f aca="false">O121</f>
        <v>0</v>
      </c>
      <c r="P122" s="116" t="e">
        <f aca="false">IF(Control!$Y$31=Control!$X$32,N122,M122)+O122</f>
        <v>#VALUE!</v>
      </c>
      <c r="Q122" s="113" t="n">
        <v>0</v>
      </c>
      <c r="R122" s="114" t="e">
        <f aca="false">VLOOKUP($B122,Curve_Fetch,(VLOOKUP(Control!$AJ$10,Control!$AI$11:$AL$22,4)))</f>
        <v>#VALUE!</v>
      </c>
      <c r="S122" s="121" t="n">
        <f aca="false">S121</f>
        <v>0</v>
      </c>
      <c r="T122" s="116" t="e">
        <f aca="false">IF($C$11="Physical",IF(Control!$Y$37=Control!$X$38,R122,Q122)+S122,0)</f>
        <v>#VALUE!</v>
      </c>
      <c r="U122" s="117" t="e">
        <f aca="false">IF($C$11="Financial",L122+P122,L122+P122+T122)</f>
        <v>#VALUE!</v>
      </c>
      <c r="V122" s="114"/>
      <c r="W122" s="118" t="e">
        <f aca="false">VLOOKUP($B122,Model!$A$8:$S$289,19)</f>
        <v>#VALUE!</v>
      </c>
      <c r="X122" s="120" t="n">
        <f aca="false">X121</f>
        <v>0</v>
      </c>
      <c r="Y122" s="120" t="e">
        <f aca="false">W122+X122</f>
        <v>#VALUE!</v>
      </c>
      <c r="Z122" s="121" t="n">
        <f aca="false">Z121</f>
        <v>0</v>
      </c>
      <c r="AA122" s="121" t="e">
        <f aca="false">U122+Z122</f>
        <v>#VALUE!</v>
      </c>
      <c r="AB122" s="128" t="e">
        <f aca="false">EURO(U122,AA122,VLOOKUP($B122,Curve_Fetch,2),VLOOKUP($B122,Curve_Fetch,2),Y122,VLOOKUP($B122,Model!$A$8:$R$289,18),IF(Euro!$C$10="Call",1,0),0)</f>
        <v>#VALUE!</v>
      </c>
      <c r="AD122" s="123" t="e">
        <f aca="false">$G122*L122</f>
        <v>#VALUE!</v>
      </c>
      <c r="AE122" s="124" t="e">
        <f aca="false">$G122*P122</f>
        <v>#VALUE!</v>
      </c>
      <c r="AF122" s="124" t="e">
        <f aca="false">$G122*T122</f>
        <v>#VALUE!</v>
      </c>
      <c r="AG122" s="124" t="e">
        <f aca="false">$G122*U122</f>
        <v>#VALUE!</v>
      </c>
      <c r="AH122" s="124" t="e">
        <f aca="false">$G122*AA122</f>
        <v>#VALUE!</v>
      </c>
      <c r="AI122" s="125" t="e">
        <f aca="false">$F122*AB122</f>
        <v>#VALUE!</v>
      </c>
      <c r="AK122" s="0"/>
      <c r="AL122" s="0"/>
      <c r="AM122" s="0"/>
      <c r="AN122" s="0"/>
      <c r="AO122" s="0"/>
      <c r="AP122" s="0"/>
      <c r="AQ122" s="0"/>
      <c r="AR122" s="0"/>
    </row>
    <row r="123" customFormat="false" ht="12.75" hidden="false" customHeight="false" outlineLevel="0" collapsed="false">
      <c r="B123" s="108" t="e">
        <f aca="false">([1]!edate,B122,1)</f>
        <v>#VALUE!</v>
      </c>
      <c r="C123" s="109" t="e">
        <f aca="false">IF($C$11="Physical",B124+24,B124)</f>
        <v>#VALUE!</v>
      </c>
      <c r="D123" s="110" t="n">
        <v>0</v>
      </c>
      <c r="E123" s="111" t="e">
        <f aca="false">VLOOKUP($B123,Model!$A$8:$E$289,5)</f>
        <v>#VALUE!</v>
      </c>
      <c r="F123" s="111" t="e">
        <f aca="false">VLOOKUP($B123,Model!$A$8:$F$289,6)</f>
        <v>#VALUE!</v>
      </c>
      <c r="G123" s="127" t="e">
        <f aca="false">VLOOKUP($B123,Model!$A$8:$AO$289,41)</f>
        <v>#VALUE!</v>
      </c>
      <c r="I123" s="113" t="n">
        <v>0</v>
      </c>
      <c r="J123" s="114" t="e">
        <f aca="false">VLOOKUP($B123,Curve_Fetch,3)</f>
        <v>#VALUE!</v>
      </c>
      <c r="K123" s="121" t="n">
        <f aca="false">K122</f>
        <v>0</v>
      </c>
      <c r="L123" s="116" t="e">
        <f aca="false">IF(Control!$Y$26=Control!$X$27,J123,I123)+K123</f>
        <v>#VALUE!</v>
      </c>
      <c r="M123" s="113" t="n">
        <v>0</v>
      </c>
      <c r="N123" s="114" t="e">
        <f aca="false">VLOOKUP($B123,Curve_Fetch,VLOOKUP(Control!$AJ$10,Control!$AI$11:$AK$22,3))</f>
        <v>#VALUE!</v>
      </c>
      <c r="O123" s="121" t="n">
        <f aca="false">O122</f>
        <v>0</v>
      </c>
      <c r="P123" s="116" t="e">
        <f aca="false">IF(Control!$Y$31=Control!$X$32,N123,M123)+O123</f>
        <v>#VALUE!</v>
      </c>
      <c r="Q123" s="113" t="n">
        <v>0</v>
      </c>
      <c r="R123" s="114" t="e">
        <f aca="false">VLOOKUP($B123,Curve_Fetch,(VLOOKUP(Control!$AJ$10,Control!$AI$11:$AL$22,4)))</f>
        <v>#VALUE!</v>
      </c>
      <c r="S123" s="121" t="n">
        <f aca="false">S122</f>
        <v>0</v>
      </c>
      <c r="T123" s="116" t="e">
        <f aca="false">IF($C$11="Physical",IF(Control!$Y$37=Control!$X$38,R123,Q123)+S123,0)</f>
        <v>#VALUE!</v>
      </c>
      <c r="U123" s="117" t="e">
        <f aca="false">IF($C$11="Financial",L123+P123,L123+P123+T123)</f>
        <v>#VALUE!</v>
      </c>
      <c r="V123" s="114"/>
      <c r="W123" s="118" t="e">
        <f aca="false">VLOOKUP($B123,Model!$A$8:$S$289,19)</f>
        <v>#VALUE!</v>
      </c>
      <c r="X123" s="120" t="n">
        <f aca="false">X122</f>
        <v>0</v>
      </c>
      <c r="Y123" s="120" t="e">
        <f aca="false">W123+X123</f>
        <v>#VALUE!</v>
      </c>
      <c r="Z123" s="121" t="n">
        <f aca="false">Z122</f>
        <v>0</v>
      </c>
      <c r="AA123" s="121" t="e">
        <f aca="false">U123+Z123</f>
        <v>#VALUE!</v>
      </c>
      <c r="AB123" s="128" t="e">
        <f aca="false">EURO(U123,AA123,VLOOKUP($B123,Curve_Fetch,2),VLOOKUP($B123,Curve_Fetch,2),Y123,VLOOKUP($B123,Model!$A$8:$R$289,18),IF(Euro!$C$10="Call",1,0),0)</f>
        <v>#VALUE!</v>
      </c>
      <c r="AD123" s="123" t="e">
        <f aca="false">$G123*L123</f>
        <v>#VALUE!</v>
      </c>
      <c r="AE123" s="124" t="e">
        <f aca="false">$G123*P123</f>
        <v>#VALUE!</v>
      </c>
      <c r="AF123" s="124" t="e">
        <f aca="false">$G123*T123</f>
        <v>#VALUE!</v>
      </c>
      <c r="AG123" s="124" t="e">
        <f aca="false">$G123*U123</f>
        <v>#VALUE!</v>
      </c>
      <c r="AH123" s="124" t="e">
        <f aca="false">$G123*AA123</f>
        <v>#VALUE!</v>
      </c>
      <c r="AI123" s="125" t="e">
        <f aca="false">$F123*AB123</f>
        <v>#VALUE!</v>
      </c>
      <c r="AK123" s="0"/>
      <c r="AL123" s="0"/>
      <c r="AM123" s="0"/>
      <c r="AN123" s="0"/>
      <c r="AO123" s="0"/>
      <c r="AP123" s="0"/>
      <c r="AQ123" s="0"/>
      <c r="AR123" s="0"/>
    </row>
    <row r="124" customFormat="false" ht="12.75" hidden="false" customHeight="false" outlineLevel="0" collapsed="false">
      <c r="B124" s="108" t="e">
        <f aca="false">([1]!edate,B123,1)</f>
        <v>#VALUE!</v>
      </c>
      <c r="C124" s="109" t="e">
        <f aca="false">IF($C$11="Physical",B125+24,B125)</f>
        <v>#VALUE!</v>
      </c>
      <c r="D124" s="110" t="n">
        <v>0</v>
      </c>
      <c r="E124" s="111" t="e">
        <f aca="false">VLOOKUP($B124,Model!$A$8:$E$289,5)</f>
        <v>#VALUE!</v>
      </c>
      <c r="F124" s="111" t="e">
        <f aca="false">VLOOKUP($B124,Model!$A$8:$F$289,6)</f>
        <v>#VALUE!</v>
      </c>
      <c r="G124" s="127" t="e">
        <f aca="false">VLOOKUP($B124,Model!$A$8:$AO$289,41)</f>
        <v>#VALUE!</v>
      </c>
      <c r="I124" s="113" t="n">
        <v>0</v>
      </c>
      <c r="J124" s="114" t="e">
        <f aca="false">VLOOKUP($B124,Curve_Fetch,3)</f>
        <v>#VALUE!</v>
      </c>
      <c r="K124" s="121" t="n">
        <f aca="false">K123</f>
        <v>0</v>
      </c>
      <c r="L124" s="116" t="e">
        <f aca="false">IF(Control!$Y$26=Control!$X$27,J124,I124)+K124</f>
        <v>#VALUE!</v>
      </c>
      <c r="M124" s="113" t="n">
        <v>0</v>
      </c>
      <c r="N124" s="114" t="e">
        <f aca="false">VLOOKUP($B124,Curve_Fetch,VLOOKUP(Control!$AJ$10,Control!$AI$11:$AK$22,3))</f>
        <v>#VALUE!</v>
      </c>
      <c r="O124" s="121" t="n">
        <f aca="false">O123</f>
        <v>0</v>
      </c>
      <c r="P124" s="116" t="e">
        <f aca="false">IF(Control!$Y$31=Control!$X$32,N124,M124)+O124</f>
        <v>#VALUE!</v>
      </c>
      <c r="Q124" s="113" t="n">
        <v>0</v>
      </c>
      <c r="R124" s="114" t="e">
        <f aca="false">VLOOKUP($B124,Curve_Fetch,(VLOOKUP(Control!$AJ$10,Control!$AI$11:$AL$22,4)))</f>
        <v>#VALUE!</v>
      </c>
      <c r="S124" s="121" t="n">
        <f aca="false">S123</f>
        <v>0</v>
      </c>
      <c r="T124" s="116" t="e">
        <f aca="false">IF($C$11="Physical",IF(Control!$Y$37=Control!$X$38,R124,Q124)+S124,0)</f>
        <v>#VALUE!</v>
      </c>
      <c r="U124" s="117" t="e">
        <f aca="false">IF($C$11="Financial",L124+P124,L124+P124+T124)</f>
        <v>#VALUE!</v>
      </c>
      <c r="V124" s="114"/>
      <c r="W124" s="118" t="e">
        <f aca="false">VLOOKUP($B124,Model!$A$8:$S$289,19)</f>
        <v>#VALUE!</v>
      </c>
      <c r="X124" s="120" t="n">
        <f aca="false">X123</f>
        <v>0</v>
      </c>
      <c r="Y124" s="120" t="e">
        <f aca="false">W124+X124</f>
        <v>#VALUE!</v>
      </c>
      <c r="Z124" s="121" t="n">
        <f aca="false">Z123</f>
        <v>0</v>
      </c>
      <c r="AA124" s="121" t="e">
        <f aca="false">U124+Z124</f>
        <v>#VALUE!</v>
      </c>
      <c r="AB124" s="128" t="e">
        <f aca="false">EURO(U124,AA124,VLOOKUP($B124,Curve_Fetch,2),VLOOKUP($B124,Curve_Fetch,2),Y124,VLOOKUP($B124,Model!$A$8:$R$289,18),IF(Euro!$C$10="Call",1,0),0)</f>
        <v>#VALUE!</v>
      </c>
      <c r="AD124" s="123" t="e">
        <f aca="false">$G124*L124</f>
        <v>#VALUE!</v>
      </c>
      <c r="AE124" s="124" t="e">
        <f aca="false">$G124*P124</f>
        <v>#VALUE!</v>
      </c>
      <c r="AF124" s="124" t="e">
        <f aca="false">$G124*T124</f>
        <v>#VALUE!</v>
      </c>
      <c r="AG124" s="124" t="e">
        <f aca="false">$G124*U124</f>
        <v>#VALUE!</v>
      </c>
      <c r="AH124" s="124" t="e">
        <f aca="false">$G124*AA124</f>
        <v>#VALUE!</v>
      </c>
      <c r="AI124" s="125" t="e">
        <f aca="false">$F124*AB124</f>
        <v>#VALUE!</v>
      </c>
      <c r="AK124" s="0"/>
      <c r="AL124" s="0"/>
      <c r="AM124" s="0"/>
      <c r="AN124" s="0"/>
      <c r="AO124" s="0"/>
      <c r="AP124" s="0"/>
      <c r="AQ124" s="0"/>
      <c r="AR124" s="0"/>
    </row>
    <row r="125" customFormat="false" ht="12.75" hidden="false" customHeight="false" outlineLevel="0" collapsed="false">
      <c r="B125" s="108" t="e">
        <f aca="false">([1]!edate,B124,1)</f>
        <v>#VALUE!</v>
      </c>
      <c r="C125" s="109" t="e">
        <f aca="false">IF($C$11="Physical",B126+24,B126)</f>
        <v>#VALUE!</v>
      </c>
      <c r="D125" s="110" t="n">
        <v>0</v>
      </c>
      <c r="E125" s="111" t="e">
        <f aca="false">VLOOKUP($B125,Model!$A$8:$E$289,5)</f>
        <v>#VALUE!</v>
      </c>
      <c r="F125" s="111" t="e">
        <f aca="false">VLOOKUP($B125,Model!$A$8:$F$289,6)</f>
        <v>#VALUE!</v>
      </c>
      <c r="G125" s="127" t="e">
        <f aca="false">VLOOKUP($B125,Model!$A$8:$AO$289,41)</f>
        <v>#VALUE!</v>
      </c>
      <c r="I125" s="113" t="n">
        <v>0</v>
      </c>
      <c r="J125" s="114" t="e">
        <f aca="false">VLOOKUP($B125,Curve_Fetch,3)</f>
        <v>#VALUE!</v>
      </c>
      <c r="K125" s="121" t="n">
        <f aca="false">K124</f>
        <v>0</v>
      </c>
      <c r="L125" s="116" t="e">
        <f aca="false">IF(Control!$Y$26=Control!$X$27,J125,I125)+K125</f>
        <v>#VALUE!</v>
      </c>
      <c r="M125" s="113" t="n">
        <v>0</v>
      </c>
      <c r="N125" s="114" t="e">
        <f aca="false">VLOOKUP($B125,Curve_Fetch,VLOOKUP(Control!$AJ$10,Control!$AI$11:$AK$22,3))</f>
        <v>#VALUE!</v>
      </c>
      <c r="O125" s="121" t="n">
        <f aca="false">O124</f>
        <v>0</v>
      </c>
      <c r="P125" s="116" t="e">
        <f aca="false">IF(Control!$Y$31=Control!$X$32,N125,M125)+O125</f>
        <v>#VALUE!</v>
      </c>
      <c r="Q125" s="113" t="n">
        <v>0</v>
      </c>
      <c r="R125" s="114" t="e">
        <f aca="false">VLOOKUP($B125,Curve_Fetch,(VLOOKUP(Control!$AJ$10,Control!$AI$11:$AL$22,4)))</f>
        <v>#VALUE!</v>
      </c>
      <c r="S125" s="121" t="n">
        <f aca="false">S124</f>
        <v>0</v>
      </c>
      <c r="T125" s="116" t="e">
        <f aca="false">IF($C$11="Physical",IF(Control!$Y$37=Control!$X$38,R125,Q125)+S125,0)</f>
        <v>#VALUE!</v>
      </c>
      <c r="U125" s="117" t="e">
        <f aca="false">IF($C$11="Financial",L125+P125,L125+P125+T125)</f>
        <v>#VALUE!</v>
      </c>
      <c r="V125" s="114"/>
      <c r="W125" s="118" t="e">
        <f aca="false">VLOOKUP($B125,Model!$A$8:$S$289,19)</f>
        <v>#VALUE!</v>
      </c>
      <c r="X125" s="120" t="n">
        <f aca="false">X124</f>
        <v>0</v>
      </c>
      <c r="Y125" s="120" t="e">
        <f aca="false">W125+X125</f>
        <v>#VALUE!</v>
      </c>
      <c r="Z125" s="121" t="n">
        <f aca="false">Z124</f>
        <v>0</v>
      </c>
      <c r="AA125" s="121" t="e">
        <f aca="false">U125+Z125</f>
        <v>#VALUE!</v>
      </c>
      <c r="AB125" s="128" t="e">
        <f aca="false">EURO(U125,AA125,VLOOKUP($B125,Curve_Fetch,2),VLOOKUP($B125,Curve_Fetch,2),Y125,VLOOKUP($B125,Model!$A$8:$R$289,18),IF(Euro!$C$10="Call",1,0),0)</f>
        <v>#VALUE!</v>
      </c>
      <c r="AD125" s="123" t="e">
        <f aca="false">$G125*L125</f>
        <v>#VALUE!</v>
      </c>
      <c r="AE125" s="124" t="e">
        <f aca="false">$G125*P125</f>
        <v>#VALUE!</v>
      </c>
      <c r="AF125" s="124" t="e">
        <f aca="false">$G125*T125</f>
        <v>#VALUE!</v>
      </c>
      <c r="AG125" s="124" t="e">
        <f aca="false">$G125*U125</f>
        <v>#VALUE!</v>
      </c>
      <c r="AH125" s="124" t="e">
        <f aca="false">$G125*AA125</f>
        <v>#VALUE!</v>
      </c>
      <c r="AI125" s="125" t="e">
        <f aca="false">$F125*AB125</f>
        <v>#VALUE!</v>
      </c>
      <c r="AK125" s="0"/>
      <c r="AL125" s="0"/>
      <c r="AM125" s="0"/>
      <c r="AN125" s="0"/>
      <c r="AO125" s="0"/>
      <c r="AP125" s="0"/>
      <c r="AQ125" s="0"/>
      <c r="AR125" s="0"/>
    </row>
    <row r="126" customFormat="false" ht="12.75" hidden="false" customHeight="false" outlineLevel="0" collapsed="false">
      <c r="B126" s="108" t="e">
        <f aca="false">([1]!edate,B125,1)</f>
        <v>#VALUE!</v>
      </c>
      <c r="C126" s="109" t="e">
        <f aca="false">IF($C$11="Physical",B127+24,B127)</f>
        <v>#VALUE!</v>
      </c>
      <c r="D126" s="110" t="n">
        <v>0</v>
      </c>
      <c r="E126" s="111" t="e">
        <f aca="false">VLOOKUP($B126,Model!$A$8:$E$289,5)</f>
        <v>#VALUE!</v>
      </c>
      <c r="F126" s="111" t="e">
        <f aca="false">VLOOKUP($B126,Model!$A$8:$F$289,6)</f>
        <v>#VALUE!</v>
      </c>
      <c r="G126" s="127" t="e">
        <f aca="false">VLOOKUP($B126,Model!$A$8:$AO$289,41)</f>
        <v>#VALUE!</v>
      </c>
      <c r="I126" s="113" t="n">
        <v>0</v>
      </c>
      <c r="J126" s="114" t="e">
        <f aca="false">VLOOKUP($B126,Curve_Fetch,3)</f>
        <v>#VALUE!</v>
      </c>
      <c r="K126" s="121" t="n">
        <f aca="false">K125</f>
        <v>0</v>
      </c>
      <c r="L126" s="116" t="e">
        <f aca="false">IF(Control!$Y$26=Control!$X$27,J126,I126)+K126</f>
        <v>#VALUE!</v>
      </c>
      <c r="M126" s="113" t="n">
        <v>0</v>
      </c>
      <c r="N126" s="114" t="e">
        <f aca="false">VLOOKUP($B126,Curve_Fetch,VLOOKUP(Control!$AJ$10,Control!$AI$11:$AK$22,3))</f>
        <v>#VALUE!</v>
      </c>
      <c r="O126" s="121" t="n">
        <f aca="false">O125</f>
        <v>0</v>
      </c>
      <c r="P126" s="116" t="e">
        <f aca="false">IF(Control!$Y$31=Control!$X$32,N126,M126)+O126</f>
        <v>#VALUE!</v>
      </c>
      <c r="Q126" s="113" t="n">
        <v>0</v>
      </c>
      <c r="R126" s="114" t="e">
        <f aca="false">VLOOKUP($B126,Curve_Fetch,(VLOOKUP(Control!$AJ$10,Control!$AI$11:$AL$22,4)))</f>
        <v>#VALUE!</v>
      </c>
      <c r="S126" s="121" t="n">
        <f aca="false">S125</f>
        <v>0</v>
      </c>
      <c r="T126" s="116" t="e">
        <f aca="false">IF($C$11="Physical",IF(Control!$Y$37=Control!$X$38,R126,Q126)+S126,0)</f>
        <v>#VALUE!</v>
      </c>
      <c r="U126" s="117" t="e">
        <f aca="false">IF($C$11="Financial",L126+P126,L126+P126+T126)</f>
        <v>#VALUE!</v>
      </c>
      <c r="V126" s="114"/>
      <c r="W126" s="118" t="e">
        <f aca="false">VLOOKUP($B126,Model!$A$8:$S$289,19)</f>
        <v>#VALUE!</v>
      </c>
      <c r="X126" s="120" t="n">
        <f aca="false">X125</f>
        <v>0</v>
      </c>
      <c r="Y126" s="120" t="e">
        <f aca="false">W126+X126</f>
        <v>#VALUE!</v>
      </c>
      <c r="Z126" s="121" t="n">
        <f aca="false">Z125</f>
        <v>0</v>
      </c>
      <c r="AA126" s="121" t="e">
        <f aca="false">U126+Z126</f>
        <v>#VALUE!</v>
      </c>
      <c r="AB126" s="128" t="e">
        <f aca="false">EURO(U126,AA126,VLOOKUP($B126,Curve_Fetch,2),VLOOKUP($B126,Curve_Fetch,2),Y126,VLOOKUP($B126,Model!$A$8:$R$289,18),IF(Euro!$C$10="Call",1,0),0)</f>
        <v>#VALUE!</v>
      </c>
      <c r="AD126" s="123" t="e">
        <f aca="false">$G126*L126</f>
        <v>#VALUE!</v>
      </c>
      <c r="AE126" s="124" t="e">
        <f aca="false">$G126*P126</f>
        <v>#VALUE!</v>
      </c>
      <c r="AF126" s="124" t="e">
        <f aca="false">$G126*T126</f>
        <v>#VALUE!</v>
      </c>
      <c r="AG126" s="124" t="e">
        <f aca="false">$G126*U126</f>
        <v>#VALUE!</v>
      </c>
      <c r="AH126" s="124" t="e">
        <f aca="false">$G126*AA126</f>
        <v>#VALUE!</v>
      </c>
      <c r="AI126" s="125" t="e">
        <f aca="false">$F126*AB126</f>
        <v>#VALUE!</v>
      </c>
      <c r="AK126" s="0"/>
      <c r="AL126" s="0"/>
      <c r="AM126" s="0"/>
      <c r="AN126" s="0"/>
      <c r="AO126" s="0"/>
      <c r="AP126" s="0"/>
      <c r="AQ126" s="0"/>
      <c r="AR126" s="0"/>
    </row>
    <row r="127" customFormat="false" ht="12.75" hidden="false" customHeight="false" outlineLevel="0" collapsed="false">
      <c r="B127" s="108" t="e">
        <f aca="false">([1]!edate,B126,1)</f>
        <v>#VALUE!</v>
      </c>
      <c r="C127" s="109" t="e">
        <f aca="false">IF($C$11="Physical",B128+24,B128)</f>
        <v>#VALUE!</v>
      </c>
      <c r="D127" s="110" t="n">
        <v>0</v>
      </c>
      <c r="E127" s="111" t="e">
        <f aca="false">VLOOKUP($B127,Model!$A$8:$E$289,5)</f>
        <v>#VALUE!</v>
      </c>
      <c r="F127" s="111" t="e">
        <f aca="false">VLOOKUP($B127,Model!$A$8:$F$289,6)</f>
        <v>#VALUE!</v>
      </c>
      <c r="G127" s="127" t="e">
        <f aca="false">VLOOKUP($B127,Model!$A$8:$AO$289,41)</f>
        <v>#VALUE!</v>
      </c>
      <c r="I127" s="113" t="n">
        <v>0</v>
      </c>
      <c r="J127" s="114" t="e">
        <f aca="false">VLOOKUP($B127,Curve_Fetch,3)</f>
        <v>#VALUE!</v>
      </c>
      <c r="K127" s="121" t="n">
        <f aca="false">K126</f>
        <v>0</v>
      </c>
      <c r="L127" s="116" t="e">
        <f aca="false">IF(Control!$Y$26=Control!$X$27,J127,I127)+K127</f>
        <v>#VALUE!</v>
      </c>
      <c r="M127" s="113" t="n">
        <v>0</v>
      </c>
      <c r="N127" s="114" t="e">
        <f aca="false">VLOOKUP($B127,Curve_Fetch,VLOOKUP(Control!$AJ$10,Control!$AI$11:$AK$22,3))</f>
        <v>#VALUE!</v>
      </c>
      <c r="O127" s="121" t="n">
        <f aca="false">O126</f>
        <v>0</v>
      </c>
      <c r="P127" s="116" t="e">
        <f aca="false">IF(Control!$Y$31=Control!$X$32,N127,M127)+O127</f>
        <v>#VALUE!</v>
      </c>
      <c r="Q127" s="113" t="n">
        <v>0</v>
      </c>
      <c r="R127" s="114" t="e">
        <f aca="false">VLOOKUP($B127,Curve_Fetch,(VLOOKUP(Control!$AJ$10,Control!$AI$11:$AL$22,4)))</f>
        <v>#VALUE!</v>
      </c>
      <c r="S127" s="121" t="n">
        <f aca="false">S126</f>
        <v>0</v>
      </c>
      <c r="T127" s="116" t="e">
        <f aca="false">IF($C$11="Physical",IF(Control!$Y$37=Control!$X$38,R127,Q127)+S127,0)</f>
        <v>#VALUE!</v>
      </c>
      <c r="U127" s="117" t="e">
        <f aca="false">IF($C$11="Financial",L127+P127,L127+P127+T127)</f>
        <v>#VALUE!</v>
      </c>
      <c r="V127" s="114"/>
      <c r="W127" s="118" t="e">
        <f aca="false">VLOOKUP($B127,Model!$A$8:$S$289,19)</f>
        <v>#VALUE!</v>
      </c>
      <c r="X127" s="120" t="n">
        <f aca="false">X126</f>
        <v>0</v>
      </c>
      <c r="Y127" s="120" t="e">
        <f aca="false">W127+X127</f>
        <v>#VALUE!</v>
      </c>
      <c r="Z127" s="121" t="n">
        <f aca="false">Z126</f>
        <v>0</v>
      </c>
      <c r="AA127" s="121" t="e">
        <f aca="false">U127+Z127</f>
        <v>#VALUE!</v>
      </c>
      <c r="AB127" s="128" t="e">
        <f aca="false">EURO(U127,AA127,VLOOKUP($B127,Curve_Fetch,2),VLOOKUP($B127,Curve_Fetch,2),Y127,VLOOKUP($B127,Model!$A$8:$R$289,18),IF(Euro!$C$10="Call",1,0),0)</f>
        <v>#VALUE!</v>
      </c>
      <c r="AD127" s="123" t="e">
        <f aca="false">$G127*L127</f>
        <v>#VALUE!</v>
      </c>
      <c r="AE127" s="124" t="e">
        <f aca="false">$G127*P127</f>
        <v>#VALUE!</v>
      </c>
      <c r="AF127" s="124" t="e">
        <f aca="false">$G127*T127</f>
        <v>#VALUE!</v>
      </c>
      <c r="AG127" s="124" t="e">
        <f aca="false">$G127*U127</f>
        <v>#VALUE!</v>
      </c>
      <c r="AH127" s="124" t="e">
        <f aca="false">$G127*AA127</f>
        <v>#VALUE!</v>
      </c>
      <c r="AI127" s="125" t="e">
        <f aca="false">$F127*AB127</f>
        <v>#VALUE!</v>
      </c>
      <c r="AK127" s="0"/>
      <c r="AL127" s="0"/>
      <c r="AM127" s="0"/>
      <c r="AN127" s="0"/>
      <c r="AO127" s="0"/>
      <c r="AP127" s="0"/>
      <c r="AQ127" s="0"/>
      <c r="AR127" s="0"/>
    </row>
    <row r="128" customFormat="false" ht="12.75" hidden="false" customHeight="false" outlineLevel="0" collapsed="false">
      <c r="B128" s="108" t="e">
        <f aca="false">([1]!edate,B127,1)</f>
        <v>#VALUE!</v>
      </c>
      <c r="C128" s="109" t="e">
        <f aca="false">IF($C$11="Physical",B129+24,B129)</f>
        <v>#VALUE!</v>
      </c>
      <c r="D128" s="110" t="n">
        <v>0</v>
      </c>
      <c r="E128" s="111" t="e">
        <f aca="false">VLOOKUP($B128,Model!$A$8:$E$289,5)</f>
        <v>#VALUE!</v>
      </c>
      <c r="F128" s="111" t="e">
        <f aca="false">VLOOKUP($B128,Model!$A$8:$F$289,6)</f>
        <v>#VALUE!</v>
      </c>
      <c r="G128" s="127" t="e">
        <f aca="false">VLOOKUP($B128,Model!$A$8:$AO$289,41)</f>
        <v>#VALUE!</v>
      </c>
      <c r="I128" s="113" t="n">
        <v>0</v>
      </c>
      <c r="J128" s="114" t="e">
        <f aca="false">VLOOKUP($B128,Curve_Fetch,3)</f>
        <v>#VALUE!</v>
      </c>
      <c r="K128" s="121" t="n">
        <f aca="false">K127</f>
        <v>0</v>
      </c>
      <c r="L128" s="116" t="e">
        <f aca="false">IF(Control!$Y$26=Control!$X$27,J128,I128)+K128</f>
        <v>#VALUE!</v>
      </c>
      <c r="M128" s="113" t="n">
        <v>0</v>
      </c>
      <c r="N128" s="114" t="e">
        <f aca="false">VLOOKUP($B128,Curve_Fetch,VLOOKUP(Control!$AJ$10,Control!$AI$11:$AK$22,3))</f>
        <v>#VALUE!</v>
      </c>
      <c r="O128" s="121" t="n">
        <f aca="false">O127</f>
        <v>0</v>
      </c>
      <c r="P128" s="116" t="e">
        <f aca="false">IF(Control!$Y$31=Control!$X$32,N128,M128)+O128</f>
        <v>#VALUE!</v>
      </c>
      <c r="Q128" s="113" t="n">
        <v>0</v>
      </c>
      <c r="R128" s="114" t="e">
        <f aca="false">VLOOKUP($B128,Curve_Fetch,(VLOOKUP(Control!$AJ$10,Control!$AI$11:$AL$22,4)))</f>
        <v>#VALUE!</v>
      </c>
      <c r="S128" s="121" t="n">
        <f aca="false">S127</f>
        <v>0</v>
      </c>
      <c r="T128" s="116" t="e">
        <f aca="false">IF($C$11="Physical",IF(Control!$Y$37=Control!$X$38,R128,Q128)+S128,0)</f>
        <v>#VALUE!</v>
      </c>
      <c r="U128" s="117" t="e">
        <f aca="false">IF($C$11="Financial",L128+P128,L128+P128+T128)</f>
        <v>#VALUE!</v>
      </c>
      <c r="V128" s="114"/>
      <c r="W128" s="118" t="e">
        <f aca="false">VLOOKUP($B128,Model!$A$8:$S$289,19)</f>
        <v>#VALUE!</v>
      </c>
      <c r="X128" s="120" t="n">
        <f aca="false">X127</f>
        <v>0</v>
      </c>
      <c r="Y128" s="120" t="e">
        <f aca="false">W128+X128</f>
        <v>#VALUE!</v>
      </c>
      <c r="Z128" s="121" t="n">
        <f aca="false">Z127</f>
        <v>0</v>
      </c>
      <c r="AA128" s="121" t="e">
        <f aca="false">U128+Z128</f>
        <v>#VALUE!</v>
      </c>
      <c r="AB128" s="128" t="e">
        <f aca="false">EURO(U128,AA128,VLOOKUP($B128,Curve_Fetch,2),VLOOKUP($B128,Curve_Fetch,2),Y128,VLOOKUP($B128,Model!$A$8:$R$289,18),IF(Euro!$C$10="Call",1,0),0)</f>
        <v>#VALUE!</v>
      </c>
      <c r="AD128" s="123" t="e">
        <f aca="false">$G128*L128</f>
        <v>#VALUE!</v>
      </c>
      <c r="AE128" s="124" t="e">
        <f aca="false">$G128*P128</f>
        <v>#VALUE!</v>
      </c>
      <c r="AF128" s="124" t="e">
        <f aca="false">$G128*T128</f>
        <v>#VALUE!</v>
      </c>
      <c r="AG128" s="124" t="e">
        <f aca="false">$G128*U128</f>
        <v>#VALUE!</v>
      </c>
      <c r="AH128" s="124" t="e">
        <f aca="false">$G128*AA128</f>
        <v>#VALUE!</v>
      </c>
      <c r="AI128" s="125" t="e">
        <f aca="false">$F128*AB128</f>
        <v>#VALUE!</v>
      </c>
      <c r="AK128" s="0"/>
      <c r="AL128" s="0"/>
      <c r="AM128" s="0"/>
      <c r="AN128" s="0"/>
      <c r="AO128" s="0"/>
      <c r="AP128" s="0"/>
      <c r="AQ128" s="0"/>
      <c r="AR128" s="0"/>
    </row>
    <row r="129" customFormat="false" ht="12.75" hidden="false" customHeight="false" outlineLevel="0" collapsed="false">
      <c r="B129" s="108" t="e">
        <f aca="false">([1]!edate,B128,1)</f>
        <v>#VALUE!</v>
      </c>
      <c r="C129" s="109" t="e">
        <f aca="false">IF($C$11="Physical",B130+24,B130)</f>
        <v>#VALUE!</v>
      </c>
      <c r="D129" s="110" t="n">
        <v>0</v>
      </c>
      <c r="E129" s="111" t="e">
        <f aca="false">VLOOKUP($B129,Model!$A$8:$E$289,5)</f>
        <v>#VALUE!</v>
      </c>
      <c r="F129" s="111" t="e">
        <f aca="false">VLOOKUP($B129,Model!$A$8:$F$289,6)</f>
        <v>#VALUE!</v>
      </c>
      <c r="G129" s="127" t="e">
        <f aca="false">VLOOKUP($B129,Model!$A$8:$AO$289,41)</f>
        <v>#VALUE!</v>
      </c>
      <c r="I129" s="113" t="n">
        <v>0</v>
      </c>
      <c r="J129" s="114" t="e">
        <f aca="false">VLOOKUP($B129,Curve_Fetch,3)</f>
        <v>#VALUE!</v>
      </c>
      <c r="K129" s="121" t="n">
        <f aca="false">K128</f>
        <v>0</v>
      </c>
      <c r="L129" s="116" t="e">
        <f aca="false">IF(Control!$Y$26=Control!$X$27,J129,I129)+K129</f>
        <v>#VALUE!</v>
      </c>
      <c r="M129" s="113" t="n">
        <v>0</v>
      </c>
      <c r="N129" s="114" t="e">
        <f aca="false">VLOOKUP($B129,Curve_Fetch,VLOOKUP(Control!$AJ$10,Control!$AI$11:$AK$22,3))</f>
        <v>#VALUE!</v>
      </c>
      <c r="O129" s="121" t="n">
        <f aca="false">O128</f>
        <v>0</v>
      </c>
      <c r="P129" s="116" t="e">
        <f aca="false">IF(Control!$Y$31=Control!$X$32,N129,M129)+O129</f>
        <v>#VALUE!</v>
      </c>
      <c r="Q129" s="113" t="n">
        <v>0</v>
      </c>
      <c r="R129" s="114" t="e">
        <f aca="false">VLOOKUP($B129,Curve_Fetch,(VLOOKUP(Control!$AJ$10,Control!$AI$11:$AL$22,4)))</f>
        <v>#VALUE!</v>
      </c>
      <c r="S129" s="121" t="n">
        <f aca="false">S128</f>
        <v>0</v>
      </c>
      <c r="T129" s="116" t="e">
        <f aca="false">IF($C$11="Physical",IF(Control!$Y$37=Control!$X$38,R129,Q129)+S129,0)</f>
        <v>#VALUE!</v>
      </c>
      <c r="U129" s="117" t="e">
        <f aca="false">IF($C$11="Financial",L129+P129,L129+P129+T129)</f>
        <v>#VALUE!</v>
      </c>
      <c r="V129" s="114"/>
      <c r="W129" s="118" t="e">
        <f aca="false">VLOOKUP($B129,Model!$A$8:$S$289,19)</f>
        <v>#VALUE!</v>
      </c>
      <c r="X129" s="120" t="n">
        <f aca="false">X128</f>
        <v>0</v>
      </c>
      <c r="Y129" s="120" t="e">
        <f aca="false">W129+X129</f>
        <v>#VALUE!</v>
      </c>
      <c r="Z129" s="121" t="n">
        <f aca="false">Z128</f>
        <v>0</v>
      </c>
      <c r="AA129" s="121" t="e">
        <f aca="false">U129+Z129</f>
        <v>#VALUE!</v>
      </c>
      <c r="AB129" s="128" t="e">
        <f aca="false">EURO(U129,AA129,VLOOKUP($B129,Curve_Fetch,2),VLOOKUP($B129,Curve_Fetch,2),Y129,VLOOKUP($B129,Model!$A$8:$R$289,18),IF(Euro!$C$10="Call",1,0),0)</f>
        <v>#VALUE!</v>
      </c>
      <c r="AD129" s="123" t="e">
        <f aca="false">$G129*L129</f>
        <v>#VALUE!</v>
      </c>
      <c r="AE129" s="124" t="e">
        <f aca="false">$G129*P129</f>
        <v>#VALUE!</v>
      </c>
      <c r="AF129" s="124" t="e">
        <f aca="false">$G129*T129</f>
        <v>#VALUE!</v>
      </c>
      <c r="AG129" s="124" t="e">
        <f aca="false">$G129*U129</f>
        <v>#VALUE!</v>
      </c>
      <c r="AH129" s="124" t="e">
        <f aca="false">$G129*AA129</f>
        <v>#VALUE!</v>
      </c>
      <c r="AI129" s="125" t="e">
        <f aca="false">$F129*AB129</f>
        <v>#VALUE!</v>
      </c>
      <c r="AK129" s="0"/>
      <c r="AL129" s="0"/>
      <c r="AM129" s="0"/>
      <c r="AN129" s="0"/>
      <c r="AO129" s="0"/>
      <c r="AP129" s="0"/>
      <c r="AQ129" s="0"/>
      <c r="AR129" s="0"/>
    </row>
    <row r="130" customFormat="false" ht="12.75" hidden="false" customHeight="false" outlineLevel="0" collapsed="false">
      <c r="B130" s="108" t="e">
        <f aca="false">([1]!edate,B129,1)</f>
        <v>#VALUE!</v>
      </c>
      <c r="C130" s="109" t="e">
        <f aca="false">IF($C$11="Physical",B131+24,B131)</f>
        <v>#VALUE!</v>
      </c>
      <c r="D130" s="110" t="n">
        <v>0</v>
      </c>
      <c r="E130" s="111" t="e">
        <f aca="false">VLOOKUP($B130,Model!$A$8:$E$289,5)</f>
        <v>#VALUE!</v>
      </c>
      <c r="F130" s="111" t="e">
        <f aca="false">VLOOKUP($B130,Model!$A$8:$F$289,6)</f>
        <v>#VALUE!</v>
      </c>
      <c r="G130" s="127" t="e">
        <f aca="false">VLOOKUP($B130,Model!$A$8:$AO$289,41)</f>
        <v>#VALUE!</v>
      </c>
      <c r="I130" s="113" t="n">
        <v>0</v>
      </c>
      <c r="J130" s="114" t="e">
        <f aca="false">VLOOKUP($B130,Curve_Fetch,3)</f>
        <v>#VALUE!</v>
      </c>
      <c r="K130" s="121" t="n">
        <f aca="false">K129</f>
        <v>0</v>
      </c>
      <c r="L130" s="116" t="e">
        <f aca="false">IF(Control!$Y$26=Control!$X$27,J130,I130)+K130</f>
        <v>#VALUE!</v>
      </c>
      <c r="M130" s="113" t="n">
        <v>0</v>
      </c>
      <c r="N130" s="114" t="e">
        <f aca="false">VLOOKUP($B130,Curve_Fetch,VLOOKUP(Control!$AJ$10,Control!$AI$11:$AK$22,3))</f>
        <v>#VALUE!</v>
      </c>
      <c r="O130" s="121" t="n">
        <f aca="false">O129</f>
        <v>0</v>
      </c>
      <c r="P130" s="116" t="e">
        <f aca="false">IF(Control!$Y$31=Control!$X$32,N130,M130)+O130</f>
        <v>#VALUE!</v>
      </c>
      <c r="Q130" s="113" t="n">
        <v>0</v>
      </c>
      <c r="R130" s="114" t="e">
        <f aca="false">VLOOKUP($B130,Curve_Fetch,(VLOOKUP(Control!$AJ$10,Control!$AI$11:$AL$22,4)))</f>
        <v>#VALUE!</v>
      </c>
      <c r="S130" s="121" t="n">
        <f aca="false">S129</f>
        <v>0</v>
      </c>
      <c r="T130" s="116" t="e">
        <f aca="false">IF($C$11="Physical",IF(Control!$Y$37=Control!$X$38,R130,Q130)+S130,0)</f>
        <v>#VALUE!</v>
      </c>
      <c r="U130" s="117" t="e">
        <f aca="false">IF($C$11="Financial",L130+P130,L130+P130+T130)</f>
        <v>#VALUE!</v>
      </c>
      <c r="V130" s="114"/>
      <c r="W130" s="118" t="e">
        <f aca="false">VLOOKUP($B130,Model!$A$8:$S$289,19)</f>
        <v>#VALUE!</v>
      </c>
      <c r="X130" s="120" t="n">
        <f aca="false">X129</f>
        <v>0</v>
      </c>
      <c r="Y130" s="120" t="e">
        <f aca="false">W130+X130</f>
        <v>#VALUE!</v>
      </c>
      <c r="Z130" s="121" t="n">
        <f aca="false">Z129</f>
        <v>0</v>
      </c>
      <c r="AA130" s="121" t="e">
        <f aca="false">U130+Z130</f>
        <v>#VALUE!</v>
      </c>
      <c r="AB130" s="128" t="e">
        <f aca="false">EURO(U130,AA130,VLOOKUP($B130,Curve_Fetch,2),VLOOKUP($B130,Curve_Fetch,2),Y130,VLOOKUP($B130,Model!$A$8:$R$289,18),IF(Euro!$C$10="Call",1,0),0)</f>
        <v>#VALUE!</v>
      </c>
      <c r="AD130" s="123" t="e">
        <f aca="false">$G130*L130</f>
        <v>#VALUE!</v>
      </c>
      <c r="AE130" s="124" t="e">
        <f aca="false">$G130*P130</f>
        <v>#VALUE!</v>
      </c>
      <c r="AF130" s="124" t="e">
        <f aca="false">$G130*T130</f>
        <v>#VALUE!</v>
      </c>
      <c r="AG130" s="124" t="e">
        <f aca="false">$G130*U130</f>
        <v>#VALUE!</v>
      </c>
      <c r="AH130" s="124" t="e">
        <f aca="false">$G130*AA130</f>
        <v>#VALUE!</v>
      </c>
      <c r="AI130" s="125" t="e">
        <f aca="false">$F130*AB130</f>
        <v>#VALUE!</v>
      </c>
      <c r="AK130" s="0"/>
      <c r="AL130" s="0"/>
      <c r="AM130" s="0"/>
      <c r="AN130" s="0"/>
      <c r="AO130" s="0"/>
      <c r="AP130" s="0"/>
      <c r="AQ130" s="0"/>
      <c r="AR130" s="0"/>
    </row>
    <row r="131" customFormat="false" ht="12.75" hidden="false" customHeight="false" outlineLevel="0" collapsed="false">
      <c r="B131" s="108" t="e">
        <f aca="false">([1]!edate,B130,1)</f>
        <v>#VALUE!</v>
      </c>
      <c r="C131" s="109" t="e">
        <f aca="false">IF($C$11="Physical",B132+24,B132)</f>
        <v>#VALUE!</v>
      </c>
      <c r="D131" s="110" t="n">
        <v>0</v>
      </c>
      <c r="E131" s="111" t="e">
        <f aca="false">VLOOKUP($B131,Model!$A$8:$E$289,5)</f>
        <v>#VALUE!</v>
      </c>
      <c r="F131" s="111" t="e">
        <f aca="false">VLOOKUP($B131,Model!$A$8:$F$289,6)</f>
        <v>#VALUE!</v>
      </c>
      <c r="G131" s="127" t="e">
        <f aca="false">VLOOKUP($B131,Model!$A$8:$AO$289,41)</f>
        <v>#VALUE!</v>
      </c>
      <c r="I131" s="113" t="n">
        <v>0</v>
      </c>
      <c r="J131" s="114" t="e">
        <f aca="false">VLOOKUP($B131,Curve_Fetch,3)</f>
        <v>#VALUE!</v>
      </c>
      <c r="K131" s="121" t="n">
        <f aca="false">K130</f>
        <v>0</v>
      </c>
      <c r="L131" s="116" t="e">
        <f aca="false">IF(Control!$Y$26=Control!$X$27,J131,I131)+K131</f>
        <v>#VALUE!</v>
      </c>
      <c r="M131" s="113" t="n">
        <v>0</v>
      </c>
      <c r="N131" s="114" t="e">
        <f aca="false">VLOOKUP($B131,Curve_Fetch,VLOOKUP(Control!$AJ$10,Control!$AI$11:$AK$22,3))</f>
        <v>#VALUE!</v>
      </c>
      <c r="O131" s="121" t="n">
        <f aca="false">O130</f>
        <v>0</v>
      </c>
      <c r="P131" s="116" t="e">
        <f aca="false">IF(Control!$Y$31=Control!$X$32,N131,M131)+O131</f>
        <v>#VALUE!</v>
      </c>
      <c r="Q131" s="113" t="n">
        <v>0</v>
      </c>
      <c r="R131" s="114" t="e">
        <f aca="false">VLOOKUP($B131,Curve_Fetch,(VLOOKUP(Control!$AJ$10,Control!$AI$11:$AL$22,4)))</f>
        <v>#VALUE!</v>
      </c>
      <c r="S131" s="121" t="n">
        <f aca="false">S130</f>
        <v>0</v>
      </c>
      <c r="T131" s="116" t="e">
        <f aca="false">IF($C$11="Physical",IF(Control!$Y$37=Control!$X$38,R131,Q131)+S131,0)</f>
        <v>#VALUE!</v>
      </c>
      <c r="U131" s="117" t="e">
        <f aca="false">IF($C$11="Financial",L131+P131,L131+P131+T131)</f>
        <v>#VALUE!</v>
      </c>
      <c r="V131" s="114"/>
      <c r="W131" s="118" t="e">
        <f aca="false">VLOOKUP($B131,Model!$A$8:$S$289,19)</f>
        <v>#VALUE!</v>
      </c>
      <c r="X131" s="120" t="n">
        <f aca="false">X130</f>
        <v>0</v>
      </c>
      <c r="Y131" s="120" t="e">
        <f aca="false">W131+X131</f>
        <v>#VALUE!</v>
      </c>
      <c r="Z131" s="121" t="n">
        <f aca="false">Z130</f>
        <v>0</v>
      </c>
      <c r="AA131" s="121" t="e">
        <f aca="false">U131+Z131</f>
        <v>#VALUE!</v>
      </c>
      <c r="AB131" s="128" t="e">
        <f aca="false">EURO(U131,AA131,VLOOKUP($B131,Curve_Fetch,2),VLOOKUP($B131,Curve_Fetch,2),Y131,VLOOKUP($B131,Model!$A$8:$R$289,18),IF(Euro!$C$10="Call",1,0),0)</f>
        <v>#VALUE!</v>
      </c>
      <c r="AD131" s="123" t="e">
        <f aca="false">$G131*L131</f>
        <v>#VALUE!</v>
      </c>
      <c r="AE131" s="124" t="e">
        <f aca="false">$G131*P131</f>
        <v>#VALUE!</v>
      </c>
      <c r="AF131" s="124" t="e">
        <f aca="false">$G131*T131</f>
        <v>#VALUE!</v>
      </c>
      <c r="AG131" s="124" t="e">
        <f aca="false">$G131*U131</f>
        <v>#VALUE!</v>
      </c>
      <c r="AH131" s="124" t="e">
        <f aca="false">$G131*AA131</f>
        <v>#VALUE!</v>
      </c>
      <c r="AI131" s="125" t="e">
        <f aca="false">$F131*AB131</f>
        <v>#VALUE!</v>
      </c>
      <c r="AK131" s="0"/>
      <c r="AL131" s="0"/>
      <c r="AM131" s="0"/>
      <c r="AN131" s="0"/>
      <c r="AO131" s="0"/>
      <c r="AP131" s="0"/>
      <c r="AQ131" s="0"/>
      <c r="AR131" s="0"/>
    </row>
    <row r="132" customFormat="false" ht="12.75" hidden="false" customHeight="false" outlineLevel="0" collapsed="false">
      <c r="B132" s="108" t="e">
        <f aca="false">([1]!edate,B131,1)</f>
        <v>#VALUE!</v>
      </c>
      <c r="C132" s="109" t="e">
        <f aca="false">IF($C$11="Physical",B133+24,B133)</f>
        <v>#VALUE!</v>
      </c>
      <c r="D132" s="110" t="n">
        <v>0</v>
      </c>
      <c r="E132" s="111" t="e">
        <f aca="false">VLOOKUP($B132,Model!$A$8:$E$289,5)</f>
        <v>#VALUE!</v>
      </c>
      <c r="F132" s="111" t="e">
        <f aca="false">VLOOKUP($B132,Model!$A$8:$F$289,6)</f>
        <v>#VALUE!</v>
      </c>
      <c r="G132" s="127" t="e">
        <f aca="false">VLOOKUP($B132,Model!$A$8:$AO$289,41)</f>
        <v>#VALUE!</v>
      </c>
      <c r="I132" s="113" t="n">
        <v>0</v>
      </c>
      <c r="J132" s="114" t="e">
        <f aca="false">VLOOKUP($B132,Curve_Fetch,3)</f>
        <v>#VALUE!</v>
      </c>
      <c r="K132" s="121" t="n">
        <f aca="false">K131</f>
        <v>0</v>
      </c>
      <c r="L132" s="116" t="e">
        <f aca="false">IF(Control!$Y$26=Control!$X$27,J132,I132)+K132</f>
        <v>#VALUE!</v>
      </c>
      <c r="M132" s="113" t="n">
        <v>0</v>
      </c>
      <c r="N132" s="114" t="e">
        <f aca="false">VLOOKUP($B132,Curve_Fetch,VLOOKUP(Control!$AJ$10,Control!$AI$11:$AK$22,3))</f>
        <v>#VALUE!</v>
      </c>
      <c r="O132" s="121" t="n">
        <f aca="false">O131</f>
        <v>0</v>
      </c>
      <c r="P132" s="116" t="e">
        <f aca="false">IF(Control!$Y$31=Control!$X$32,N132,M132)+O132</f>
        <v>#VALUE!</v>
      </c>
      <c r="Q132" s="113" t="n">
        <v>0</v>
      </c>
      <c r="R132" s="114" t="e">
        <f aca="false">VLOOKUP($B132,Curve_Fetch,(VLOOKUP(Control!$AJ$10,Control!$AI$11:$AL$22,4)))</f>
        <v>#VALUE!</v>
      </c>
      <c r="S132" s="121" t="n">
        <f aca="false">S131</f>
        <v>0</v>
      </c>
      <c r="T132" s="116" t="e">
        <f aca="false">IF($C$11="Physical",IF(Control!$Y$37=Control!$X$38,R132,Q132)+S132,0)</f>
        <v>#VALUE!</v>
      </c>
      <c r="U132" s="117" t="e">
        <f aca="false">IF($C$11="Financial",L132+P132,L132+P132+T132)</f>
        <v>#VALUE!</v>
      </c>
      <c r="V132" s="114"/>
      <c r="W132" s="118" t="e">
        <f aca="false">VLOOKUP($B132,Model!$A$8:$S$289,19)</f>
        <v>#VALUE!</v>
      </c>
      <c r="X132" s="120" t="n">
        <f aca="false">X131</f>
        <v>0</v>
      </c>
      <c r="Y132" s="120" t="e">
        <f aca="false">W132+X132</f>
        <v>#VALUE!</v>
      </c>
      <c r="Z132" s="121" t="n">
        <f aca="false">Z131</f>
        <v>0</v>
      </c>
      <c r="AA132" s="121" t="e">
        <f aca="false">U132+Z132</f>
        <v>#VALUE!</v>
      </c>
      <c r="AB132" s="128" t="e">
        <f aca="false">EURO(U132,AA132,VLOOKUP($B132,Curve_Fetch,2),VLOOKUP($B132,Curve_Fetch,2),Y132,VLOOKUP($B132,Model!$A$8:$R$289,18),IF(Euro!$C$10="Call",1,0),0)</f>
        <v>#VALUE!</v>
      </c>
      <c r="AD132" s="123" t="e">
        <f aca="false">$G132*L132</f>
        <v>#VALUE!</v>
      </c>
      <c r="AE132" s="124" t="e">
        <f aca="false">$G132*P132</f>
        <v>#VALUE!</v>
      </c>
      <c r="AF132" s="124" t="e">
        <f aca="false">$G132*T132</f>
        <v>#VALUE!</v>
      </c>
      <c r="AG132" s="124" t="e">
        <f aca="false">$G132*U132</f>
        <v>#VALUE!</v>
      </c>
      <c r="AH132" s="124" t="e">
        <f aca="false">$G132*AA132</f>
        <v>#VALUE!</v>
      </c>
      <c r="AI132" s="125" t="e">
        <f aca="false">$F132*AB132</f>
        <v>#VALUE!</v>
      </c>
      <c r="AK132" s="0"/>
      <c r="AL132" s="0"/>
      <c r="AM132" s="0"/>
      <c r="AN132" s="0"/>
      <c r="AO132" s="0"/>
      <c r="AP132" s="0"/>
      <c r="AQ132" s="0"/>
      <c r="AR132" s="0"/>
    </row>
    <row r="133" customFormat="false" ht="12.75" hidden="false" customHeight="false" outlineLevel="0" collapsed="false">
      <c r="B133" s="108" t="e">
        <f aca="false">([1]!edate,B132,1)</f>
        <v>#VALUE!</v>
      </c>
      <c r="C133" s="109" t="e">
        <f aca="false">IF($C$11="Physical",B134+24,B134)</f>
        <v>#VALUE!</v>
      </c>
      <c r="D133" s="110" t="n">
        <v>0</v>
      </c>
      <c r="E133" s="111" t="e">
        <f aca="false">VLOOKUP($B133,Model!$A$8:$E$289,5)</f>
        <v>#VALUE!</v>
      </c>
      <c r="F133" s="111" t="e">
        <f aca="false">VLOOKUP($B133,Model!$A$8:$F$289,6)</f>
        <v>#VALUE!</v>
      </c>
      <c r="G133" s="127" t="e">
        <f aca="false">VLOOKUP($B133,Model!$A$8:$AO$289,41)</f>
        <v>#VALUE!</v>
      </c>
      <c r="I133" s="113" t="n">
        <v>0</v>
      </c>
      <c r="J133" s="114" t="e">
        <f aca="false">VLOOKUP($B133,Curve_Fetch,3)</f>
        <v>#VALUE!</v>
      </c>
      <c r="K133" s="121" t="n">
        <f aca="false">K132</f>
        <v>0</v>
      </c>
      <c r="L133" s="116" t="e">
        <f aca="false">IF(Control!$Y$26=Control!$X$27,J133,I133)+K133</f>
        <v>#VALUE!</v>
      </c>
      <c r="M133" s="113" t="n">
        <v>0</v>
      </c>
      <c r="N133" s="114" t="e">
        <f aca="false">VLOOKUP($B133,Curve_Fetch,VLOOKUP(Control!$AJ$10,Control!$AI$11:$AK$22,3))</f>
        <v>#VALUE!</v>
      </c>
      <c r="O133" s="121" t="n">
        <f aca="false">O132</f>
        <v>0</v>
      </c>
      <c r="P133" s="116" t="e">
        <f aca="false">IF(Control!$Y$31=Control!$X$32,N133,M133)+O133</f>
        <v>#VALUE!</v>
      </c>
      <c r="Q133" s="113" t="n">
        <v>0</v>
      </c>
      <c r="R133" s="114" t="e">
        <f aca="false">VLOOKUP($B133,Curve_Fetch,(VLOOKUP(Control!$AJ$10,Control!$AI$11:$AL$22,4)))</f>
        <v>#VALUE!</v>
      </c>
      <c r="S133" s="121" t="n">
        <f aca="false">S132</f>
        <v>0</v>
      </c>
      <c r="T133" s="116" t="e">
        <f aca="false">IF($C$11="Physical",IF(Control!$Y$37=Control!$X$38,R133,Q133)+S133,0)</f>
        <v>#VALUE!</v>
      </c>
      <c r="U133" s="117" t="e">
        <f aca="false">IF($C$11="Financial",L133+P133,L133+P133+T133)</f>
        <v>#VALUE!</v>
      </c>
      <c r="V133" s="114"/>
      <c r="W133" s="118" t="e">
        <f aca="false">VLOOKUP($B133,Model!$A$8:$S$289,19)</f>
        <v>#VALUE!</v>
      </c>
      <c r="X133" s="120" t="n">
        <f aca="false">X132</f>
        <v>0</v>
      </c>
      <c r="Y133" s="120" t="e">
        <f aca="false">W133+X133</f>
        <v>#VALUE!</v>
      </c>
      <c r="Z133" s="121" t="n">
        <f aca="false">Z132</f>
        <v>0</v>
      </c>
      <c r="AA133" s="121" t="e">
        <f aca="false">U133+Z133</f>
        <v>#VALUE!</v>
      </c>
      <c r="AB133" s="128" t="e">
        <f aca="false">EURO(U133,AA133,VLOOKUP($B133,Curve_Fetch,2),VLOOKUP($B133,Curve_Fetch,2),Y133,VLOOKUP($B133,Model!$A$8:$R$289,18),IF(Euro!$C$10="Call",1,0),0)</f>
        <v>#VALUE!</v>
      </c>
      <c r="AD133" s="123" t="e">
        <f aca="false">$G133*L133</f>
        <v>#VALUE!</v>
      </c>
      <c r="AE133" s="124" t="e">
        <f aca="false">$G133*P133</f>
        <v>#VALUE!</v>
      </c>
      <c r="AF133" s="124" t="e">
        <f aca="false">$G133*T133</f>
        <v>#VALUE!</v>
      </c>
      <c r="AG133" s="124" t="e">
        <f aca="false">$G133*U133</f>
        <v>#VALUE!</v>
      </c>
      <c r="AH133" s="124" t="e">
        <f aca="false">$G133*AA133</f>
        <v>#VALUE!</v>
      </c>
      <c r="AI133" s="125" t="e">
        <f aca="false">$F133*AB133</f>
        <v>#VALUE!</v>
      </c>
      <c r="AK133" s="0"/>
      <c r="AL133" s="0"/>
      <c r="AM133" s="0"/>
      <c r="AN133" s="0"/>
      <c r="AO133" s="0"/>
      <c r="AP133" s="0"/>
      <c r="AQ133" s="0"/>
      <c r="AR133" s="0"/>
    </row>
    <row r="134" customFormat="false" ht="12.75" hidden="false" customHeight="false" outlineLevel="0" collapsed="false">
      <c r="B134" s="108" t="e">
        <f aca="false">([1]!edate,B133,1)</f>
        <v>#VALUE!</v>
      </c>
      <c r="C134" s="109" t="e">
        <f aca="false">IF($C$11="Physical",B135+24,B135)</f>
        <v>#VALUE!</v>
      </c>
      <c r="D134" s="110" t="n">
        <v>0</v>
      </c>
      <c r="E134" s="111" t="e">
        <f aca="false">VLOOKUP($B134,Model!$A$8:$E$289,5)</f>
        <v>#VALUE!</v>
      </c>
      <c r="F134" s="111" t="e">
        <f aca="false">VLOOKUP($B134,Model!$A$8:$F$289,6)</f>
        <v>#VALUE!</v>
      </c>
      <c r="G134" s="127" t="e">
        <f aca="false">VLOOKUP($B134,Model!$A$8:$AO$289,41)</f>
        <v>#VALUE!</v>
      </c>
      <c r="I134" s="113" t="n">
        <v>0</v>
      </c>
      <c r="J134" s="114" t="e">
        <f aca="false">VLOOKUP($B134,Curve_Fetch,3)</f>
        <v>#VALUE!</v>
      </c>
      <c r="K134" s="121" t="n">
        <f aca="false">K133</f>
        <v>0</v>
      </c>
      <c r="L134" s="116" t="e">
        <f aca="false">IF(Control!$Y$26=Control!$X$27,J134,I134)+K134</f>
        <v>#VALUE!</v>
      </c>
      <c r="M134" s="113" t="n">
        <v>0</v>
      </c>
      <c r="N134" s="114" t="e">
        <f aca="false">VLOOKUP($B134,Curve_Fetch,VLOOKUP(Control!$AJ$10,Control!$AI$11:$AK$22,3))</f>
        <v>#VALUE!</v>
      </c>
      <c r="O134" s="121" t="n">
        <f aca="false">O133</f>
        <v>0</v>
      </c>
      <c r="P134" s="116" t="e">
        <f aca="false">IF(Control!$Y$31=Control!$X$32,N134,M134)+O134</f>
        <v>#VALUE!</v>
      </c>
      <c r="Q134" s="113" t="n">
        <v>0</v>
      </c>
      <c r="R134" s="114" t="e">
        <f aca="false">VLOOKUP($B134,Curve_Fetch,(VLOOKUP(Control!$AJ$10,Control!$AI$11:$AL$22,4)))</f>
        <v>#VALUE!</v>
      </c>
      <c r="S134" s="121" t="n">
        <f aca="false">S133</f>
        <v>0</v>
      </c>
      <c r="T134" s="116" t="e">
        <f aca="false">IF($C$11="Physical",IF(Control!$Y$37=Control!$X$38,R134,Q134)+S134,0)</f>
        <v>#VALUE!</v>
      </c>
      <c r="U134" s="117" t="e">
        <f aca="false">IF($C$11="Financial",L134+P134,L134+P134+T134)</f>
        <v>#VALUE!</v>
      </c>
      <c r="V134" s="114"/>
      <c r="W134" s="118" t="e">
        <f aca="false">VLOOKUP($B134,Model!$A$8:$S$289,19)</f>
        <v>#VALUE!</v>
      </c>
      <c r="X134" s="120" t="n">
        <f aca="false">X133</f>
        <v>0</v>
      </c>
      <c r="Y134" s="120" t="e">
        <f aca="false">W134+X134</f>
        <v>#VALUE!</v>
      </c>
      <c r="Z134" s="121" t="n">
        <f aca="false">Z133</f>
        <v>0</v>
      </c>
      <c r="AA134" s="121" t="e">
        <f aca="false">U134+Z134</f>
        <v>#VALUE!</v>
      </c>
      <c r="AB134" s="128" t="e">
        <f aca="false">EURO(U134,AA134,VLOOKUP($B134,Curve_Fetch,2),VLOOKUP($B134,Curve_Fetch,2),Y134,VLOOKUP($B134,Model!$A$8:$R$289,18),IF(Euro!$C$10="Call",1,0),0)</f>
        <v>#VALUE!</v>
      </c>
      <c r="AD134" s="123" t="e">
        <f aca="false">$G134*L134</f>
        <v>#VALUE!</v>
      </c>
      <c r="AE134" s="124" t="e">
        <f aca="false">$G134*P134</f>
        <v>#VALUE!</v>
      </c>
      <c r="AF134" s="124" t="e">
        <f aca="false">$G134*T134</f>
        <v>#VALUE!</v>
      </c>
      <c r="AG134" s="124" t="e">
        <f aca="false">$G134*U134</f>
        <v>#VALUE!</v>
      </c>
      <c r="AH134" s="124" t="e">
        <f aca="false">$G134*AA134</f>
        <v>#VALUE!</v>
      </c>
      <c r="AI134" s="125" t="e">
        <f aca="false">$F134*AB134</f>
        <v>#VALUE!</v>
      </c>
      <c r="AK134" s="0"/>
      <c r="AL134" s="0"/>
      <c r="AM134" s="0"/>
      <c r="AN134" s="0"/>
      <c r="AO134" s="0"/>
      <c r="AP134" s="0"/>
      <c r="AQ134" s="0"/>
      <c r="AR134" s="0"/>
    </row>
    <row r="135" customFormat="false" ht="12.75" hidden="false" customHeight="false" outlineLevel="0" collapsed="false">
      <c r="B135" s="108" t="e">
        <f aca="false">([1]!edate,B134,1)</f>
        <v>#VALUE!</v>
      </c>
      <c r="C135" s="109" t="e">
        <f aca="false">IF($C$11="Physical",B136+24,B136)</f>
        <v>#VALUE!</v>
      </c>
      <c r="D135" s="110" t="n">
        <v>0</v>
      </c>
      <c r="E135" s="111" t="e">
        <f aca="false">VLOOKUP($B135,Model!$A$8:$E$289,5)</f>
        <v>#VALUE!</v>
      </c>
      <c r="F135" s="111" t="e">
        <f aca="false">VLOOKUP($B135,Model!$A$8:$F$289,6)</f>
        <v>#VALUE!</v>
      </c>
      <c r="G135" s="127" t="e">
        <f aca="false">VLOOKUP($B135,Model!$A$8:$AO$289,41)</f>
        <v>#VALUE!</v>
      </c>
      <c r="I135" s="113" t="n">
        <v>0</v>
      </c>
      <c r="J135" s="114" t="e">
        <f aca="false">VLOOKUP($B135,Curve_Fetch,3)</f>
        <v>#VALUE!</v>
      </c>
      <c r="K135" s="121" t="n">
        <f aca="false">K134</f>
        <v>0</v>
      </c>
      <c r="L135" s="116" t="e">
        <f aca="false">IF(Control!$Y$26=Control!$X$27,J135,I135)+K135</f>
        <v>#VALUE!</v>
      </c>
      <c r="M135" s="113" t="n">
        <v>0</v>
      </c>
      <c r="N135" s="114" t="e">
        <f aca="false">VLOOKUP($B135,Curve_Fetch,VLOOKUP(Control!$AJ$10,Control!$AI$11:$AK$22,3))</f>
        <v>#VALUE!</v>
      </c>
      <c r="O135" s="121" t="n">
        <f aca="false">O134</f>
        <v>0</v>
      </c>
      <c r="P135" s="116" t="e">
        <f aca="false">IF(Control!$Y$31=Control!$X$32,N135,M135)+O135</f>
        <v>#VALUE!</v>
      </c>
      <c r="Q135" s="113" t="n">
        <v>0</v>
      </c>
      <c r="R135" s="114" t="e">
        <f aca="false">VLOOKUP($B135,Curve_Fetch,(VLOOKUP(Control!$AJ$10,Control!$AI$11:$AL$22,4)))</f>
        <v>#VALUE!</v>
      </c>
      <c r="S135" s="121" t="n">
        <f aca="false">S134</f>
        <v>0</v>
      </c>
      <c r="T135" s="116" t="e">
        <f aca="false">IF($C$11="Physical",IF(Control!$Y$37=Control!$X$38,R135,Q135)+S135,0)</f>
        <v>#VALUE!</v>
      </c>
      <c r="U135" s="117" t="e">
        <f aca="false">IF($C$11="Financial",L135+P135,L135+P135+T135)</f>
        <v>#VALUE!</v>
      </c>
      <c r="V135" s="114"/>
      <c r="W135" s="118" t="e">
        <f aca="false">VLOOKUP($B135,Model!$A$8:$S$289,19)</f>
        <v>#VALUE!</v>
      </c>
      <c r="X135" s="120" t="n">
        <f aca="false">X134</f>
        <v>0</v>
      </c>
      <c r="Y135" s="120" t="e">
        <f aca="false">W135+X135</f>
        <v>#VALUE!</v>
      </c>
      <c r="Z135" s="121" t="n">
        <f aca="false">Z134</f>
        <v>0</v>
      </c>
      <c r="AA135" s="121" t="e">
        <f aca="false">U135+Z135</f>
        <v>#VALUE!</v>
      </c>
      <c r="AB135" s="128" t="e">
        <f aca="false">EURO(U135,AA135,VLOOKUP($B135,Curve_Fetch,2),VLOOKUP($B135,Curve_Fetch,2),Y135,VLOOKUP($B135,Model!$A$8:$R$289,18),IF(Euro!$C$10="Call",1,0),0)</f>
        <v>#VALUE!</v>
      </c>
      <c r="AD135" s="123" t="e">
        <f aca="false">$G135*L135</f>
        <v>#VALUE!</v>
      </c>
      <c r="AE135" s="124" t="e">
        <f aca="false">$G135*P135</f>
        <v>#VALUE!</v>
      </c>
      <c r="AF135" s="124" t="e">
        <f aca="false">$G135*T135</f>
        <v>#VALUE!</v>
      </c>
      <c r="AG135" s="124" t="e">
        <f aca="false">$G135*U135</f>
        <v>#VALUE!</v>
      </c>
      <c r="AH135" s="124" t="e">
        <f aca="false">$G135*AA135</f>
        <v>#VALUE!</v>
      </c>
      <c r="AI135" s="125" t="e">
        <f aca="false">$F135*AB135</f>
        <v>#VALUE!</v>
      </c>
      <c r="AK135" s="0"/>
      <c r="AL135" s="0"/>
      <c r="AM135" s="0"/>
      <c r="AN135" s="0"/>
      <c r="AO135" s="0"/>
      <c r="AP135" s="0"/>
      <c r="AQ135" s="0"/>
      <c r="AR135" s="0"/>
    </row>
    <row r="136" customFormat="false" ht="12.75" hidden="false" customHeight="false" outlineLevel="0" collapsed="false">
      <c r="B136" s="108" t="e">
        <f aca="false">([1]!edate,B135,1)</f>
        <v>#VALUE!</v>
      </c>
      <c r="C136" s="109" t="e">
        <f aca="false">IF($C$11="Physical",B137+24,B137)</f>
        <v>#VALUE!</v>
      </c>
      <c r="D136" s="110" t="n">
        <v>0</v>
      </c>
      <c r="E136" s="111" t="e">
        <f aca="false">VLOOKUP($B136,Model!$A$8:$E$289,5)</f>
        <v>#VALUE!</v>
      </c>
      <c r="F136" s="111" t="e">
        <f aca="false">VLOOKUP($B136,Model!$A$8:$F$289,6)</f>
        <v>#VALUE!</v>
      </c>
      <c r="G136" s="127" t="e">
        <f aca="false">VLOOKUP($B136,Model!$A$8:$AO$289,41)</f>
        <v>#VALUE!</v>
      </c>
      <c r="I136" s="113" t="n">
        <v>0</v>
      </c>
      <c r="J136" s="114" t="e">
        <f aca="false">VLOOKUP($B136,Curve_Fetch,3)</f>
        <v>#VALUE!</v>
      </c>
      <c r="K136" s="121" t="n">
        <f aca="false">K135</f>
        <v>0</v>
      </c>
      <c r="L136" s="116" t="e">
        <f aca="false">IF(Control!$Y$26=Control!$X$27,J136,I136)+K136</f>
        <v>#VALUE!</v>
      </c>
      <c r="M136" s="113" t="n">
        <v>0</v>
      </c>
      <c r="N136" s="114" t="e">
        <f aca="false">VLOOKUP($B136,Curve_Fetch,VLOOKUP(Control!$AJ$10,Control!$AI$11:$AK$22,3))</f>
        <v>#VALUE!</v>
      </c>
      <c r="O136" s="121" t="n">
        <f aca="false">O135</f>
        <v>0</v>
      </c>
      <c r="P136" s="116" t="e">
        <f aca="false">IF(Control!$Y$31=Control!$X$32,N136,M136)+O136</f>
        <v>#VALUE!</v>
      </c>
      <c r="Q136" s="113" t="n">
        <v>0</v>
      </c>
      <c r="R136" s="114" t="e">
        <f aca="false">VLOOKUP($B136,Curve_Fetch,(VLOOKUP(Control!$AJ$10,Control!$AI$11:$AL$22,4)))</f>
        <v>#VALUE!</v>
      </c>
      <c r="S136" s="121" t="n">
        <f aca="false">S135</f>
        <v>0</v>
      </c>
      <c r="T136" s="116" t="e">
        <f aca="false">IF($C$11="Physical",IF(Control!$Y$37=Control!$X$38,R136,Q136)+S136,0)</f>
        <v>#VALUE!</v>
      </c>
      <c r="U136" s="117" t="e">
        <f aca="false">IF($C$11="Financial",L136+P136,L136+P136+T136)</f>
        <v>#VALUE!</v>
      </c>
      <c r="V136" s="114"/>
      <c r="W136" s="118" t="e">
        <f aca="false">VLOOKUP($B136,Model!$A$8:$S$289,19)</f>
        <v>#VALUE!</v>
      </c>
      <c r="X136" s="120" t="n">
        <f aca="false">X135</f>
        <v>0</v>
      </c>
      <c r="Y136" s="120" t="e">
        <f aca="false">W136+X136</f>
        <v>#VALUE!</v>
      </c>
      <c r="Z136" s="121" t="n">
        <f aca="false">Z135</f>
        <v>0</v>
      </c>
      <c r="AA136" s="121" t="e">
        <f aca="false">U136+Z136</f>
        <v>#VALUE!</v>
      </c>
      <c r="AB136" s="128" t="e">
        <f aca="false">EURO(U136,AA136,VLOOKUP($B136,Curve_Fetch,2),VLOOKUP($B136,Curve_Fetch,2),Y136,VLOOKUP($B136,Model!$A$8:$R$289,18),IF(Euro!$C$10="Call",1,0),0)</f>
        <v>#VALUE!</v>
      </c>
      <c r="AD136" s="123" t="e">
        <f aca="false">$G136*L136</f>
        <v>#VALUE!</v>
      </c>
      <c r="AE136" s="124" t="e">
        <f aca="false">$G136*P136</f>
        <v>#VALUE!</v>
      </c>
      <c r="AF136" s="124" t="e">
        <f aca="false">$G136*T136</f>
        <v>#VALUE!</v>
      </c>
      <c r="AG136" s="124" t="e">
        <f aca="false">$G136*U136</f>
        <v>#VALUE!</v>
      </c>
      <c r="AH136" s="124" t="e">
        <f aca="false">$G136*AA136</f>
        <v>#VALUE!</v>
      </c>
      <c r="AI136" s="125" t="e">
        <f aca="false">$F136*AB136</f>
        <v>#VALUE!</v>
      </c>
      <c r="AK136" s="0"/>
      <c r="AL136" s="0"/>
      <c r="AM136" s="0"/>
      <c r="AN136" s="0"/>
      <c r="AO136" s="0"/>
      <c r="AP136" s="0"/>
      <c r="AQ136" s="0"/>
      <c r="AR136" s="0"/>
    </row>
    <row r="137" customFormat="false" ht="12.75" hidden="false" customHeight="false" outlineLevel="0" collapsed="false">
      <c r="B137" s="108" t="e">
        <f aca="false">([1]!edate,B136,1)</f>
        <v>#VALUE!</v>
      </c>
      <c r="C137" s="109" t="e">
        <f aca="false">IF($C$11="Physical",B138+24,B138)</f>
        <v>#VALUE!</v>
      </c>
      <c r="D137" s="110" t="n">
        <v>0</v>
      </c>
      <c r="E137" s="111" t="e">
        <f aca="false">VLOOKUP($B137,Model!$A$8:$E$289,5)</f>
        <v>#VALUE!</v>
      </c>
      <c r="F137" s="111" t="e">
        <f aca="false">VLOOKUP($B137,Model!$A$8:$F$289,6)</f>
        <v>#VALUE!</v>
      </c>
      <c r="G137" s="127" t="e">
        <f aca="false">VLOOKUP($B137,Model!$A$8:$AO$289,41)</f>
        <v>#VALUE!</v>
      </c>
      <c r="I137" s="113" t="n">
        <v>0</v>
      </c>
      <c r="J137" s="114" t="e">
        <f aca="false">VLOOKUP($B137,Curve_Fetch,3)</f>
        <v>#VALUE!</v>
      </c>
      <c r="K137" s="121" t="n">
        <f aca="false">K136</f>
        <v>0</v>
      </c>
      <c r="L137" s="116" t="e">
        <f aca="false">IF(Control!$Y$26=Control!$X$27,J137,I137)+K137</f>
        <v>#VALUE!</v>
      </c>
      <c r="M137" s="113" t="n">
        <v>0</v>
      </c>
      <c r="N137" s="114" t="e">
        <f aca="false">VLOOKUP($B137,Curve_Fetch,VLOOKUP(Control!$AJ$10,Control!$AI$11:$AK$22,3))</f>
        <v>#VALUE!</v>
      </c>
      <c r="O137" s="121" t="n">
        <f aca="false">O136</f>
        <v>0</v>
      </c>
      <c r="P137" s="116" t="e">
        <f aca="false">IF(Control!$Y$31=Control!$X$32,N137,M137)+O137</f>
        <v>#VALUE!</v>
      </c>
      <c r="Q137" s="113" t="n">
        <v>0</v>
      </c>
      <c r="R137" s="114" t="e">
        <f aca="false">VLOOKUP($B137,Curve_Fetch,(VLOOKUP(Control!$AJ$10,Control!$AI$11:$AL$22,4)))</f>
        <v>#VALUE!</v>
      </c>
      <c r="S137" s="121" t="n">
        <f aca="false">S136</f>
        <v>0</v>
      </c>
      <c r="T137" s="116" t="e">
        <f aca="false">IF($C$11="Physical",IF(Control!$Y$37=Control!$X$38,R137,Q137)+S137,0)</f>
        <v>#VALUE!</v>
      </c>
      <c r="U137" s="117" t="e">
        <f aca="false">IF($C$11="Financial",L137+P137,L137+P137+T137)</f>
        <v>#VALUE!</v>
      </c>
      <c r="V137" s="114"/>
      <c r="W137" s="118" t="e">
        <f aca="false">VLOOKUP($B137,Model!$A$8:$S$289,19)</f>
        <v>#VALUE!</v>
      </c>
      <c r="X137" s="120" t="n">
        <f aca="false">X136</f>
        <v>0</v>
      </c>
      <c r="Y137" s="120" t="e">
        <f aca="false">W137+X137</f>
        <v>#VALUE!</v>
      </c>
      <c r="Z137" s="121" t="n">
        <f aca="false">Z136</f>
        <v>0</v>
      </c>
      <c r="AA137" s="121" t="e">
        <f aca="false">U137+Z137</f>
        <v>#VALUE!</v>
      </c>
      <c r="AB137" s="128" t="e">
        <f aca="false">EURO(U137,AA137,VLOOKUP($B137,Curve_Fetch,2),VLOOKUP($B137,Curve_Fetch,2),Y137,VLOOKUP($B137,Model!$A$8:$R$289,18),IF(Euro!$C$10="Call",1,0),0)</f>
        <v>#VALUE!</v>
      </c>
      <c r="AD137" s="123" t="e">
        <f aca="false">$G137*L137</f>
        <v>#VALUE!</v>
      </c>
      <c r="AE137" s="124" t="e">
        <f aca="false">$G137*P137</f>
        <v>#VALUE!</v>
      </c>
      <c r="AF137" s="124" t="e">
        <f aca="false">$G137*T137</f>
        <v>#VALUE!</v>
      </c>
      <c r="AG137" s="124" t="e">
        <f aca="false">$G137*U137</f>
        <v>#VALUE!</v>
      </c>
      <c r="AH137" s="124" t="e">
        <f aca="false">$G137*AA137</f>
        <v>#VALUE!</v>
      </c>
      <c r="AI137" s="125" t="e">
        <f aca="false">$F137*AB137</f>
        <v>#VALUE!</v>
      </c>
      <c r="AK137" s="0"/>
      <c r="AL137" s="0"/>
      <c r="AM137" s="0"/>
      <c r="AN137" s="0"/>
      <c r="AO137" s="0"/>
      <c r="AP137" s="0"/>
      <c r="AQ137" s="0"/>
      <c r="AR137" s="0"/>
    </row>
    <row r="138" customFormat="false" ht="12.75" hidden="false" customHeight="false" outlineLevel="0" collapsed="false">
      <c r="B138" s="108" t="e">
        <f aca="false">([1]!edate,B137,1)</f>
        <v>#VALUE!</v>
      </c>
      <c r="C138" s="109" t="e">
        <f aca="false">IF($C$11="Physical",B139+24,B139)</f>
        <v>#VALUE!</v>
      </c>
      <c r="D138" s="110" t="n">
        <v>0</v>
      </c>
      <c r="E138" s="111" t="e">
        <f aca="false">VLOOKUP($B138,Model!$A$8:$E$289,5)</f>
        <v>#VALUE!</v>
      </c>
      <c r="F138" s="111" t="e">
        <f aca="false">VLOOKUP($B138,Model!$A$8:$F$289,6)</f>
        <v>#VALUE!</v>
      </c>
      <c r="G138" s="127" t="e">
        <f aca="false">VLOOKUP($B138,Model!$A$8:$AO$289,41)</f>
        <v>#VALUE!</v>
      </c>
      <c r="I138" s="113" t="n">
        <v>0</v>
      </c>
      <c r="J138" s="114" t="e">
        <f aca="false">VLOOKUP($B138,Curve_Fetch,3)</f>
        <v>#VALUE!</v>
      </c>
      <c r="K138" s="121" t="n">
        <f aca="false">K137</f>
        <v>0</v>
      </c>
      <c r="L138" s="116" t="e">
        <f aca="false">IF(Control!$Y$26=Control!$X$27,J138,I138)+K138</f>
        <v>#VALUE!</v>
      </c>
      <c r="M138" s="113" t="n">
        <v>0</v>
      </c>
      <c r="N138" s="114" t="e">
        <f aca="false">VLOOKUP($B138,Curve_Fetch,VLOOKUP(Control!$AJ$10,Control!$AI$11:$AK$22,3))</f>
        <v>#VALUE!</v>
      </c>
      <c r="O138" s="121" t="n">
        <f aca="false">O137</f>
        <v>0</v>
      </c>
      <c r="P138" s="116" t="e">
        <f aca="false">IF(Control!$Y$31=Control!$X$32,N138,M138)+O138</f>
        <v>#VALUE!</v>
      </c>
      <c r="Q138" s="113" t="n">
        <v>0</v>
      </c>
      <c r="R138" s="114" t="e">
        <f aca="false">VLOOKUP($B138,Curve_Fetch,(VLOOKUP(Control!$AJ$10,Control!$AI$11:$AL$22,4)))</f>
        <v>#VALUE!</v>
      </c>
      <c r="S138" s="121" t="n">
        <f aca="false">S137</f>
        <v>0</v>
      </c>
      <c r="T138" s="116" t="e">
        <f aca="false">IF($C$11="Physical",IF(Control!$Y$37=Control!$X$38,R138,Q138)+S138,0)</f>
        <v>#VALUE!</v>
      </c>
      <c r="U138" s="117" t="e">
        <f aca="false">IF($C$11="Financial",L138+P138,L138+P138+T138)</f>
        <v>#VALUE!</v>
      </c>
      <c r="V138" s="114"/>
      <c r="W138" s="118" t="e">
        <f aca="false">VLOOKUP($B138,Model!$A$8:$S$289,19)</f>
        <v>#VALUE!</v>
      </c>
      <c r="X138" s="120" t="n">
        <f aca="false">X137</f>
        <v>0</v>
      </c>
      <c r="Y138" s="120" t="e">
        <f aca="false">W138+X138</f>
        <v>#VALUE!</v>
      </c>
      <c r="Z138" s="121" t="n">
        <f aca="false">Z137</f>
        <v>0</v>
      </c>
      <c r="AA138" s="121" t="e">
        <f aca="false">U138+Z138</f>
        <v>#VALUE!</v>
      </c>
      <c r="AB138" s="128" t="e">
        <f aca="false">EURO(U138,AA138,VLOOKUP($B138,Curve_Fetch,2),VLOOKUP($B138,Curve_Fetch,2),Y138,VLOOKUP($B138,Model!$A$8:$R$289,18),IF(Euro!$C$10="Call",1,0),0)</f>
        <v>#VALUE!</v>
      </c>
      <c r="AD138" s="123" t="e">
        <f aca="false">$G138*L138</f>
        <v>#VALUE!</v>
      </c>
      <c r="AE138" s="124" t="e">
        <f aca="false">$G138*P138</f>
        <v>#VALUE!</v>
      </c>
      <c r="AF138" s="124" t="e">
        <f aca="false">$G138*T138</f>
        <v>#VALUE!</v>
      </c>
      <c r="AG138" s="124" t="e">
        <f aca="false">$G138*U138</f>
        <v>#VALUE!</v>
      </c>
      <c r="AH138" s="124" t="e">
        <f aca="false">$G138*AA138</f>
        <v>#VALUE!</v>
      </c>
      <c r="AI138" s="125" t="e">
        <f aca="false">$F138*AB138</f>
        <v>#VALUE!</v>
      </c>
      <c r="AK138" s="0"/>
      <c r="AL138" s="0"/>
      <c r="AM138" s="0"/>
      <c r="AN138" s="0"/>
      <c r="AO138" s="0"/>
      <c r="AP138" s="0"/>
      <c r="AQ138" s="0"/>
      <c r="AR138" s="0"/>
    </row>
    <row r="139" customFormat="false" ht="12.75" hidden="false" customHeight="false" outlineLevel="0" collapsed="false">
      <c r="B139" s="108" t="e">
        <f aca="false">([1]!edate,B138,1)</f>
        <v>#VALUE!</v>
      </c>
      <c r="C139" s="109" t="e">
        <f aca="false">IF($C$11="Physical",B140+24,B140)</f>
        <v>#VALUE!</v>
      </c>
      <c r="D139" s="110" t="n">
        <v>0</v>
      </c>
      <c r="E139" s="111" t="e">
        <f aca="false">VLOOKUP($B139,Model!$A$8:$E$289,5)</f>
        <v>#VALUE!</v>
      </c>
      <c r="F139" s="111" t="e">
        <f aca="false">VLOOKUP($B139,Model!$A$8:$F$289,6)</f>
        <v>#VALUE!</v>
      </c>
      <c r="G139" s="127" t="e">
        <f aca="false">VLOOKUP($B139,Model!$A$8:$AO$289,41)</f>
        <v>#VALUE!</v>
      </c>
      <c r="I139" s="113" t="n">
        <v>0</v>
      </c>
      <c r="J139" s="114" t="e">
        <f aca="false">VLOOKUP($B139,Curve_Fetch,3)</f>
        <v>#VALUE!</v>
      </c>
      <c r="K139" s="121" t="n">
        <f aca="false">K138</f>
        <v>0</v>
      </c>
      <c r="L139" s="116" t="e">
        <f aca="false">IF(Control!$Y$26=Control!$X$27,J139,I139)+K139</f>
        <v>#VALUE!</v>
      </c>
      <c r="M139" s="113" t="n">
        <v>0</v>
      </c>
      <c r="N139" s="114" t="e">
        <f aca="false">VLOOKUP($B139,Curve_Fetch,VLOOKUP(Control!$AJ$10,Control!$AI$11:$AK$22,3))</f>
        <v>#VALUE!</v>
      </c>
      <c r="O139" s="121" t="n">
        <f aca="false">O138</f>
        <v>0</v>
      </c>
      <c r="P139" s="116" t="e">
        <f aca="false">IF(Control!$Y$31=Control!$X$32,N139,M139)+O139</f>
        <v>#VALUE!</v>
      </c>
      <c r="Q139" s="113" t="n">
        <v>0</v>
      </c>
      <c r="R139" s="114" t="e">
        <f aca="false">VLOOKUP($B139,Curve_Fetch,(VLOOKUP(Control!$AJ$10,Control!$AI$11:$AL$22,4)))</f>
        <v>#VALUE!</v>
      </c>
      <c r="S139" s="121" t="n">
        <f aca="false">S138</f>
        <v>0</v>
      </c>
      <c r="T139" s="116" t="e">
        <f aca="false">IF($C$11="Physical",IF(Control!$Y$37=Control!$X$38,R139,Q139)+S139,0)</f>
        <v>#VALUE!</v>
      </c>
      <c r="U139" s="117" t="e">
        <f aca="false">IF($C$11="Financial",L139+P139,L139+P139+T139)</f>
        <v>#VALUE!</v>
      </c>
      <c r="V139" s="114"/>
      <c r="W139" s="118" t="e">
        <f aca="false">VLOOKUP($B139,Model!$A$8:$S$289,19)</f>
        <v>#VALUE!</v>
      </c>
      <c r="X139" s="120" t="n">
        <f aca="false">X138</f>
        <v>0</v>
      </c>
      <c r="Y139" s="120" t="e">
        <f aca="false">W139+X139</f>
        <v>#VALUE!</v>
      </c>
      <c r="Z139" s="121" t="n">
        <f aca="false">Z138</f>
        <v>0</v>
      </c>
      <c r="AA139" s="121" t="e">
        <f aca="false">U139+Z139</f>
        <v>#VALUE!</v>
      </c>
      <c r="AB139" s="128" t="e">
        <f aca="false">EURO(U139,AA139,VLOOKUP($B139,Curve_Fetch,2),VLOOKUP($B139,Curve_Fetch,2),Y139,VLOOKUP($B139,Model!$A$8:$R$289,18),IF(Euro!$C$10="Call",1,0),0)</f>
        <v>#VALUE!</v>
      </c>
      <c r="AD139" s="123" t="e">
        <f aca="false">$G139*L139</f>
        <v>#VALUE!</v>
      </c>
      <c r="AE139" s="124" t="e">
        <f aca="false">$G139*P139</f>
        <v>#VALUE!</v>
      </c>
      <c r="AF139" s="124" t="e">
        <f aca="false">$G139*T139</f>
        <v>#VALUE!</v>
      </c>
      <c r="AG139" s="124" t="e">
        <f aca="false">$G139*U139</f>
        <v>#VALUE!</v>
      </c>
      <c r="AH139" s="124" t="e">
        <f aca="false">$G139*AA139</f>
        <v>#VALUE!</v>
      </c>
      <c r="AI139" s="125" t="e">
        <f aca="false">$F139*AB139</f>
        <v>#VALUE!</v>
      </c>
      <c r="AK139" s="0"/>
      <c r="AL139" s="0"/>
      <c r="AM139" s="0"/>
      <c r="AN139" s="0"/>
      <c r="AO139" s="0"/>
      <c r="AP139" s="0"/>
      <c r="AQ139" s="0"/>
      <c r="AR139" s="0"/>
    </row>
    <row r="140" customFormat="false" ht="12.75" hidden="false" customHeight="false" outlineLevel="0" collapsed="false">
      <c r="B140" s="108" t="e">
        <f aca="false">([1]!edate,B139,1)</f>
        <v>#VALUE!</v>
      </c>
      <c r="C140" s="109" t="e">
        <f aca="false">IF($C$11="Physical",B141+24,B141)</f>
        <v>#VALUE!</v>
      </c>
      <c r="D140" s="110" t="n">
        <v>0</v>
      </c>
      <c r="E140" s="111" t="e">
        <f aca="false">VLOOKUP($B140,Model!$A$8:$E$289,5)</f>
        <v>#VALUE!</v>
      </c>
      <c r="F140" s="111" t="e">
        <f aca="false">VLOOKUP($B140,Model!$A$8:$F$289,6)</f>
        <v>#VALUE!</v>
      </c>
      <c r="G140" s="127" t="e">
        <f aca="false">VLOOKUP($B140,Model!$A$8:$AO$289,41)</f>
        <v>#VALUE!</v>
      </c>
      <c r="I140" s="113" t="n">
        <v>0</v>
      </c>
      <c r="J140" s="114" t="e">
        <f aca="false">VLOOKUP($B140,Curve_Fetch,3)</f>
        <v>#VALUE!</v>
      </c>
      <c r="K140" s="121" t="n">
        <f aca="false">K139</f>
        <v>0</v>
      </c>
      <c r="L140" s="116" t="e">
        <f aca="false">IF(Control!$Y$26=Control!$X$27,J140,I140)+K140</f>
        <v>#VALUE!</v>
      </c>
      <c r="M140" s="113" t="n">
        <v>0</v>
      </c>
      <c r="N140" s="114" t="e">
        <f aca="false">VLOOKUP($B140,Curve_Fetch,VLOOKUP(Control!$AJ$10,Control!$AI$11:$AK$22,3))</f>
        <v>#VALUE!</v>
      </c>
      <c r="O140" s="121" t="n">
        <f aca="false">O139</f>
        <v>0</v>
      </c>
      <c r="P140" s="116" t="e">
        <f aca="false">IF(Control!$Y$31=Control!$X$32,N140,M140)+O140</f>
        <v>#VALUE!</v>
      </c>
      <c r="Q140" s="113" t="n">
        <v>0</v>
      </c>
      <c r="R140" s="114" t="e">
        <f aca="false">VLOOKUP($B140,Curve_Fetch,(VLOOKUP(Control!$AJ$10,Control!$AI$11:$AL$22,4)))</f>
        <v>#VALUE!</v>
      </c>
      <c r="S140" s="121" t="n">
        <f aca="false">S139</f>
        <v>0</v>
      </c>
      <c r="T140" s="116" t="e">
        <f aca="false">IF($C$11="Physical",IF(Control!$Y$37=Control!$X$38,R140,Q140)+S140,0)</f>
        <v>#VALUE!</v>
      </c>
      <c r="U140" s="117" t="e">
        <f aca="false">IF($C$11="Financial",L140+P140,L140+P140+T140)</f>
        <v>#VALUE!</v>
      </c>
      <c r="V140" s="114"/>
      <c r="W140" s="118" t="e">
        <f aca="false">VLOOKUP($B140,Model!$A$8:$S$289,19)</f>
        <v>#VALUE!</v>
      </c>
      <c r="X140" s="120" t="n">
        <f aca="false">X139</f>
        <v>0</v>
      </c>
      <c r="Y140" s="120" t="e">
        <f aca="false">W140+X140</f>
        <v>#VALUE!</v>
      </c>
      <c r="Z140" s="121" t="n">
        <f aca="false">Z139</f>
        <v>0</v>
      </c>
      <c r="AA140" s="121" t="e">
        <f aca="false">U140+Z140</f>
        <v>#VALUE!</v>
      </c>
      <c r="AB140" s="128" t="e">
        <f aca="false">EURO(U140,AA140,VLOOKUP($B140,Curve_Fetch,2),VLOOKUP($B140,Curve_Fetch,2),Y140,VLOOKUP($B140,Model!$A$8:$R$289,18),IF(Euro!$C$10="Call",1,0),0)</f>
        <v>#VALUE!</v>
      </c>
      <c r="AD140" s="123" t="e">
        <f aca="false">$G140*L140</f>
        <v>#VALUE!</v>
      </c>
      <c r="AE140" s="124" t="e">
        <f aca="false">$G140*P140</f>
        <v>#VALUE!</v>
      </c>
      <c r="AF140" s="124" t="e">
        <f aca="false">$G140*T140</f>
        <v>#VALUE!</v>
      </c>
      <c r="AG140" s="124" t="e">
        <f aca="false">$G140*U140</f>
        <v>#VALUE!</v>
      </c>
      <c r="AH140" s="124" t="e">
        <f aca="false">$G140*AA140</f>
        <v>#VALUE!</v>
      </c>
      <c r="AI140" s="125" t="e">
        <f aca="false">$F140*AB140</f>
        <v>#VALUE!</v>
      </c>
      <c r="AK140" s="0"/>
      <c r="AL140" s="0"/>
      <c r="AM140" s="0"/>
      <c r="AN140" s="0"/>
      <c r="AO140" s="0"/>
      <c r="AP140" s="0"/>
      <c r="AQ140" s="0"/>
      <c r="AR140" s="0"/>
    </row>
    <row r="141" customFormat="false" ht="12.75" hidden="false" customHeight="false" outlineLevel="0" collapsed="false">
      <c r="B141" s="108" t="e">
        <f aca="false">([1]!edate,B140,1)</f>
        <v>#VALUE!</v>
      </c>
      <c r="C141" s="109" t="e">
        <f aca="false">IF($C$11="Physical",B142+24,B142)</f>
        <v>#VALUE!</v>
      </c>
      <c r="D141" s="110" t="n">
        <v>0</v>
      </c>
      <c r="E141" s="111" t="e">
        <f aca="false">VLOOKUP($B141,Model!$A$8:$E$289,5)</f>
        <v>#VALUE!</v>
      </c>
      <c r="F141" s="111" t="e">
        <f aca="false">VLOOKUP($B141,Model!$A$8:$F$289,6)</f>
        <v>#VALUE!</v>
      </c>
      <c r="G141" s="127" t="e">
        <f aca="false">VLOOKUP($B141,Model!$A$8:$AO$289,41)</f>
        <v>#VALUE!</v>
      </c>
      <c r="I141" s="113" t="n">
        <v>0</v>
      </c>
      <c r="J141" s="114" t="e">
        <f aca="false">VLOOKUP($B141,Curve_Fetch,3)</f>
        <v>#VALUE!</v>
      </c>
      <c r="K141" s="121" t="n">
        <f aca="false">K140</f>
        <v>0</v>
      </c>
      <c r="L141" s="116" t="e">
        <f aca="false">IF(Control!$Y$26=Control!$X$27,J141,I141)+K141</f>
        <v>#VALUE!</v>
      </c>
      <c r="M141" s="113" t="n">
        <v>0</v>
      </c>
      <c r="N141" s="114" t="e">
        <f aca="false">VLOOKUP($B141,Curve_Fetch,VLOOKUP(Control!$AJ$10,Control!$AI$11:$AK$22,3))</f>
        <v>#VALUE!</v>
      </c>
      <c r="O141" s="121" t="n">
        <f aca="false">O140</f>
        <v>0</v>
      </c>
      <c r="P141" s="116" t="e">
        <f aca="false">IF(Control!$Y$31=Control!$X$32,N141,M141)+O141</f>
        <v>#VALUE!</v>
      </c>
      <c r="Q141" s="113" t="n">
        <v>0</v>
      </c>
      <c r="R141" s="114" t="e">
        <f aca="false">VLOOKUP($B141,Curve_Fetch,(VLOOKUP(Control!$AJ$10,Control!$AI$11:$AL$22,4)))</f>
        <v>#VALUE!</v>
      </c>
      <c r="S141" s="121" t="n">
        <f aca="false">S140</f>
        <v>0</v>
      </c>
      <c r="T141" s="116" t="e">
        <f aca="false">IF($C$11="Physical",IF(Control!$Y$37=Control!$X$38,R141,Q141)+S141,0)</f>
        <v>#VALUE!</v>
      </c>
      <c r="U141" s="117" t="e">
        <f aca="false">IF($C$11="Financial",L141+P141,L141+P141+T141)</f>
        <v>#VALUE!</v>
      </c>
      <c r="V141" s="114"/>
      <c r="W141" s="118" t="e">
        <f aca="false">VLOOKUP($B141,Model!$A$8:$S$289,19)</f>
        <v>#VALUE!</v>
      </c>
      <c r="X141" s="120" t="n">
        <f aca="false">X140</f>
        <v>0</v>
      </c>
      <c r="Y141" s="120" t="e">
        <f aca="false">W141+X141</f>
        <v>#VALUE!</v>
      </c>
      <c r="Z141" s="121" t="n">
        <f aca="false">Z140</f>
        <v>0</v>
      </c>
      <c r="AA141" s="121" t="e">
        <f aca="false">U141+Z141</f>
        <v>#VALUE!</v>
      </c>
      <c r="AB141" s="128" t="e">
        <f aca="false">EURO(U141,AA141,VLOOKUP($B141,Curve_Fetch,2),VLOOKUP($B141,Curve_Fetch,2),Y141,VLOOKUP($B141,Model!$A$8:$R$289,18),IF(Euro!$C$10="Call",1,0),0)</f>
        <v>#VALUE!</v>
      </c>
      <c r="AD141" s="123" t="e">
        <f aca="false">$G141*L141</f>
        <v>#VALUE!</v>
      </c>
      <c r="AE141" s="124" t="e">
        <f aca="false">$G141*P141</f>
        <v>#VALUE!</v>
      </c>
      <c r="AF141" s="124" t="e">
        <f aca="false">$G141*T141</f>
        <v>#VALUE!</v>
      </c>
      <c r="AG141" s="124" t="e">
        <f aca="false">$G141*U141</f>
        <v>#VALUE!</v>
      </c>
      <c r="AH141" s="124" t="e">
        <f aca="false">$G141*AA141</f>
        <v>#VALUE!</v>
      </c>
      <c r="AI141" s="125" t="e">
        <f aca="false">$F141*AB141</f>
        <v>#VALUE!</v>
      </c>
      <c r="AK141" s="0"/>
      <c r="AL141" s="0"/>
      <c r="AM141" s="0"/>
      <c r="AN141" s="0"/>
      <c r="AO141" s="0"/>
      <c r="AP141" s="0"/>
      <c r="AQ141" s="0"/>
      <c r="AR141" s="0"/>
    </row>
    <row r="142" customFormat="false" ht="12.75" hidden="false" customHeight="false" outlineLevel="0" collapsed="false">
      <c r="B142" s="108" t="e">
        <f aca="false">([1]!edate,B141,1)</f>
        <v>#VALUE!</v>
      </c>
      <c r="C142" s="109" t="e">
        <f aca="false">IF($C$11="Physical",B143+24,B143)</f>
        <v>#VALUE!</v>
      </c>
      <c r="D142" s="110" t="n">
        <v>0</v>
      </c>
      <c r="E142" s="111" t="e">
        <f aca="false">VLOOKUP($B142,Model!$A$8:$E$289,5)</f>
        <v>#VALUE!</v>
      </c>
      <c r="F142" s="111" t="e">
        <f aca="false">VLOOKUP($B142,Model!$A$8:$F$289,6)</f>
        <v>#VALUE!</v>
      </c>
      <c r="G142" s="127" t="e">
        <f aca="false">VLOOKUP($B142,Model!$A$8:$AO$289,41)</f>
        <v>#VALUE!</v>
      </c>
      <c r="I142" s="113" t="n">
        <v>0</v>
      </c>
      <c r="J142" s="114" t="e">
        <f aca="false">VLOOKUP($B142,Curve_Fetch,3)</f>
        <v>#VALUE!</v>
      </c>
      <c r="K142" s="121" t="n">
        <f aca="false">K141</f>
        <v>0</v>
      </c>
      <c r="L142" s="116" t="e">
        <f aca="false">IF(Control!$Y$26=Control!$X$27,J142,I142)+K142</f>
        <v>#VALUE!</v>
      </c>
      <c r="M142" s="113" t="n">
        <v>0</v>
      </c>
      <c r="N142" s="114" t="e">
        <f aca="false">VLOOKUP($B142,Curve_Fetch,VLOOKUP(Control!$AJ$10,Control!$AI$11:$AK$22,3))</f>
        <v>#VALUE!</v>
      </c>
      <c r="O142" s="121" t="n">
        <f aca="false">O141</f>
        <v>0</v>
      </c>
      <c r="P142" s="116" t="e">
        <f aca="false">IF(Control!$Y$31=Control!$X$32,N142,M142)+O142</f>
        <v>#VALUE!</v>
      </c>
      <c r="Q142" s="113" t="n">
        <v>0</v>
      </c>
      <c r="R142" s="114" t="e">
        <f aca="false">VLOOKUP($B142,Curve_Fetch,(VLOOKUP(Control!$AJ$10,Control!$AI$11:$AL$22,4)))</f>
        <v>#VALUE!</v>
      </c>
      <c r="S142" s="121" t="n">
        <f aca="false">S141</f>
        <v>0</v>
      </c>
      <c r="T142" s="116" t="e">
        <f aca="false">IF($C$11="Physical",IF(Control!$Y$37=Control!$X$38,R142,Q142)+S142,0)</f>
        <v>#VALUE!</v>
      </c>
      <c r="U142" s="117" t="e">
        <f aca="false">IF($C$11="Financial",L142+P142,L142+P142+T142)</f>
        <v>#VALUE!</v>
      </c>
      <c r="V142" s="114"/>
      <c r="W142" s="118" t="e">
        <f aca="false">VLOOKUP($B142,Model!$A$8:$S$289,19)</f>
        <v>#VALUE!</v>
      </c>
      <c r="X142" s="120" t="n">
        <f aca="false">X141</f>
        <v>0</v>
      </c>
      <c r="Y142" s="120" t="e">
        <f aca="false">W142+X142</f>
        <v>#VALUE!</v>
      </c>
      <c r="Z142" s="121" t="n">
        <f aca="false">Z141</f>
        <v>0</v>
      </c>
      <c r="AA142" s="121" t="e">
        <f aca="false">U142+Z142</f>
        <v>#VALUE!</v>
      </c>
      <c r="AB142" s="128" t="e">
        <f aca="false">EURO(U142,AA142,VLOOKUP($B142,Curve_Fetch,2),VLOOKUP($B142,Curve_Fetch,2),Y142,VLOOKUP($B142,Model!$A$8:$R$289,18),IF(Euro!$C$10="Call",1,0),0)</f>
        <v>#VALUE!</v>
      </c>
      <c r="AD142" s="123" t="e">
        <f aca="false">$G142*L142</f>
        <v>#VALUE!</v>
      </c>
      <c r="AE142" s="124" t="e">
        <f aca="false">$G142*P142</f>
        <v>#VALUE!</v>
      </c>
      <c r="AF142" s="124" t="e">
        <f aca="false">$G142*T142</f>
        <v>#VALUE!</v>
      </c>
      <c r="AG142" s="124" t="e">
        <f aca="false">$G142*U142</f>
        <v>#VALUE!</v>
      </c>
      <c r="AH142" s="124" t="e">
        <f aca="false">$G142*AA142</f>
        <v>#VALUE!</v>
      </c>
      <c r="AI142" s="125" t="e">
        <f aca="false">$F142*AB142</f>
        <v>#VALUE!</v>
      </c>
      <c r="AK142" s="0"/>
      <c r="AL142" s="0"/>
      <c r="AM142" s="0"/>
      <c r="AN142" s="0"/>
      <c r="AO142" s="0"/>
      <c r="AP142" s="0"/>
      <c r="AQ142" s="0"/>
      <c r="AR142" s="0"/>
    </row>
    <row r="143" customFormat="false" ht="12.75" hidden="false" customHeight="false" outlineLevel="0" collapsed="false">
      <c r="B143" s="108" t="e">
        <f aca="false">([1]!edate,B142,1)</f>
        <v>#VALUE!</v>
      </c>
      <c r="C143" s="109" t="e">
        <f aca="false">IF($C$11="Physical",B144+24,B144)</f>
        <v>#VALUE!</v>
      </c>
      <c r="D143" s="110" t="n">
        <v>0</v>
      </c>
      <c r="E143" s="111" t="e">
        <f aca="false">VLOOKUP($B143,Model!$A$8:$E$289,5)</f>
        <v>#VALUE!</v>
      </c>
      <c r="F143" s="111" t="e">
        <f aca="false">VLOOKUP($B143,Model!$A$8:$F$289,6)</f>
        <v>#VALUE!</v>
      </c>
      <c r="G143" s="127" t="e">
        <f aca="false">VLOOKUP($B143,Model!$A$8:$AO$289,41)</f>
        <v>#VALUE!</v>
      </c>
      <c r="I143" s="113" t="n">
        <v>0</v>
      </c>
      <c r="J143" s="114" t="e">
        <f aca="false">VLOOKUP($B143,Curve_Fetch,3)</f>
        <v>#VALUE!</v>
      </c>
      <c r="K143" s="121" t="n">
        <f aca="false">K142</f>
        <v>0</v>
      </c>
      <c r="L143" s="116" t="e">
        <f aca="false">IF(Control!$Y$26=Control!$X$27,J143,I143)+K143</f>
        <v>#VALUE!</v>
      </c>
      <c r="M143" s="113" t="n">
        <v>0</v>
      </c>
      <c r="N143" s="114" t="e">
        <f aca="false">VLOOKUP($B143,Curve_Fetch,VLOOKUP(Control!$AJ$10,Control!$AI$11:$AK$22,3))</f>
        <v>#VALUE!</v>
      </c>
      <c r="O143" s="121" t="n">
        <f aca="false">O142</f>
        <v>0</v>
      </c>
      <c r="P143" s="116" t="e">
        <f aca="false">IF(Control!$Y$31=Control!$X$32,N143,M143)+O143</f>
        <v>#VALUE!</v>
      </c>
      <c r="Q143" s="113" t="n">
        <v>0</v>
      </c>
      <c r="R143" s="114" t="e">
        <f aca="false">VLOOKUP($B143,Curve_Fetch,(VLOOKUP(Control!$AJ$10,Control!$AI$11:$AL$22,4)))</f>
        <v>#VALUE!</v>
      </c>
      <c r="S143" s="121" t="n">
        <f aca="false">S142</f>
        <v>0</v>
      </c>
      <c r="T143" s="116" t="e">
        <f aca="false">IF($C$11="Physical",IF(Control!$Y$37=Control!$X$38,R143,Q143)+S143,0)</f>
        <v>#VALUE!</v>
      </c>
      <c r="U143" s="117" t="e">
        <f aca="false">IF($C$11="Financial",L143+P143,L143+P143+T143)</f>
        <v>#VALUE!</v>
      </c>
      <c r="V143" s="114"/>
      <c r="W143" s="118" t="e">
        <f aca="false">VLOOKUP($B143,Model!$A$8:$S$289,19)</f>
        <v>#VALUE!</v>
      </c>
      <c r="X143" s="120" t="n">
        <f aca="false">X142</f>
        <v>0</v>
      </c>
      <c r="Y143" s="120" t="e">
        <f aca="false">W143+X143</f>
        <v>#VALUE!</v>
      </c>
      <c r="Z143" s="121" t="n">
        <f aca="false">Z142</f>
        <v>0</v>
      </c>
      <c r="AA143" s="121" t="e">
        <f aca="false">U143+Z143</f>
        <v>#VALUE!</v>
      </c>
      <c r="AB143" s="128" t="e">
        <f aca="false">EURO(U143,AA143,VLOOKUP($B143,Curve_Fetch,2),VLOOKUP($B143,Curve_Fetch,2),Y143,VLOOKUP($B143,Model!$A$8:$R$289,18),IF(Euro!$C$10="Call",1,0),0)</f>
        <v>#VALUE!</v>
      </c>
      <c r="AD143" s="123" t="e">
        <f aca="false">$G143*L143</f>
        <v>#VALUE!</v>
      </c>
      <c r="AE143" s="124" t="e">
        <f aca="false">$G143*P143</f>
        <v>#VALUE!</v>
      </c>
      <c r="AF143" s="124" t="e">
        <f aca="false">$G143*T143</f>
        <v>#VALUE!</v>
      </c>
      <c r="AG143" s="124" t="e">
        <f aca="false">$G143*U143</f>
        <v>#VALUE!</v>
      </c>
      <c r="AH143" s="124" t="e">
        <f aca="false">$G143*AA143</f>
        <v>#VALUE!</v>
      </c>
      <c r="AI143" s="125" t="e">
        <f aca="false">$F143*AB143</f>
        <v>#VALUE!</v>
      </c>
      <c r="AK143" s="0"/>
      <c r="AL143" s="0"/>
      <c r="AM143" s="0"/>
      <c r="AN143" s="0"/>
      <c r="AO143" s="0"/>
      <c r="AP143" s="0"/>
      <c r="AQ143" s="0"/>
      <c r="AR143" s="0"/>
    </row>
    <row r="144" customFormat="false" ht="12.75" hidden="false" customHeight="false" outlineLevel="0" collapsed="false">
      <c r="B144" s="108" t="e">
        <f aca="false">([1]!edate,B143,1)</f>
        <v>#VALUE!</v>
      </c>
      <c r="C144" s="109" t="e">
        <f aca="false">IF($C$11="Physical",B145+24,B145)</f>
        <v>#VALUE!</v>
      </c>
      <c r="D144" s="110" t="n">
        <v>0</v>
      </c>
      <c r="E144" s="111" t="e">
        <f aca="false">VLOOKUP($B144,Model!$A$8:$E$289,5)</f>
        <v>#VALUE!</v>
      </c>
      <c r="F144" s="111" t="e">
        <f aca="false">VLOOKUP($B144,Model!$A$8:$F$289,6)</f>
        <v>#VALUE!</v>
      </c>
      <c r="G144" s="127" t="e">
        <f aca="false">VLOOKUP($B144,Model!$A$8:$AO$289,41)</f>
        <v>#VALUE!</v>
      </c>
      <c r="I144" s="113" t="n">
        <v>0</v>
      </c>
      <c r="J144" s="114" t="e">
        <f aca="false">VLOOKUP($B144,Curve_Fetch,3)</f>
        <v>#VALUE!</v>
      </c>
      <c r="K144" s="121" t="n">
        <f aca="false">K143</f>
        <v>0</v>
      </c>
      <c r="L144" s="116" t="e">
        <f aca="false">IF(Control!$Y$26=Control!$X$27,J144,I144)+K144</f>
        <v>#VALUE!</v>
      </c>
      <c r="M144" s="113" t="n">
        <v>0</v>
      </c>
      <c r="N144" s="114" t="e">
        <f aca="false">VLOOKUP($B144,Curve_Fetch,VLOOKUP(Control!$AJ$10,Control!$AI$11:$AK$22,3))</f>
        <v>#VALUE!</v>
      </c>
      <c r="O144" s="121" t="n">
        <f aca="false">O143</f>
        <v>0</v>
      </c>
      <c r="P144" s="116" t="e">
        <f aca="false">IF(Control!$Y$31=Control!$X$32,N144,M144)+O144</f>
        <v>#VALUE!</v>
      </c>
      <c r="Q144" s="113" t="n">
        <v>0</v>
      </c>
      <c r="R144" s="114" t="e">
        <f aca="false">VLOOKUP($B144,Curve_Fetch,(VLOOKUP(Control!$AJ$10,Control!$AI$11:$AL$22,4)))</f>
        <v>#VALUE!</v>
      </c>
      <c r="S144" s="121" t="n">
        <f aca="false">S143</f>
        <v>0</v>
      </c>
      <c r="T144" s="116" t="e">
        <f aca="false">IF($C$11="Physical",IF(Control!$Y$37=Control!$X$38,R144,Q144)+S144,0)</f>
        <v>#VALUE!</v>
      </c>
      <c r="U144" s="117" t="e">
        <f aca="false">IF($C$11="Financial",L144+P144,L144+P144+T144)</f>
        <v>#VALUE!</v>
      </c>
      <c r="V144" s="114"/>
      <c r="W144" s="118" t="e">
        <f aca="false">VLOOKUP($B144,Model!$A$8:$S$289,19)</f>
        <v>#VALUE!</v>
      </c>
      <c r="X144" s="120" t="n">
        <f aca="false">X143</f>
        <v>0</v>
      </c>
      <c r="Y144" s="120" t="e">
        <f aca="false">W144+X144</f>
        <v>#VALUE!</v>
      </c>
      <c r="Z144" s="121" t="n">
        <f aca="false">Z143</f>
        <v>0</v>
      </c>
      <c r="AA144" s="121" t="e">
        <f aca="false">U144+Z144</f>
        <v>#VALUE!</v>
      </c>
      <c r="AB144" s="128" t="e">
        <f aca="false">EURO(U144,AA144,VLOOKUP($B144,Curve_Fetch,2),VLOOKUP($B144,Curve_Fetch,2),Y144,VLOOKUP($B144,Model!$A$8:$R$289,18),IF(Euro!$C$10="Call",1,0),0)</f>
        <v>#VALUE!</v>
      </c>
      <c r="AD144" s="123" t="e">
        <f aca="false">$G144*L144</f>
        <v>#VALUE!</v>
      </c>
      <c r="AE144" s="124" t="e">
        <f aca="false">$G144*P144</f>
        <v>#VALUE!</v>
      </c>
      <c r="AF144" s="124" t="e">
        <f aca="false">$G144*T144</f>
        <v>#VALUE!</v>
      </c>
      <c r="AG144" s="124" t="e">
        <f aca="false">$G144*U144</f>
        <v>#VALUE!</v>
      </c>
      <c r="AH144" s="124" t="e">
        <f aca="false">$G144*AA144</f>
        <v>#VALUE!</v>
      </c>
      <c r="AI144" s="125" t="e">
        <f aca="false">$F144*AB144</f>
        <v>#VALUE!</v>
      </c>
      <c r="AK144" s="0"/>
      <c r="AL144" s="0"/>
      <c r="AM144" s="0"/>
      <c r="AN144" s="0"/>
      <c r="AO144" s="0"/>
      <c r="AP144" s="0"/>
      <c r="AQ144" s="0"/>
      <c r="AR144" s="0"/>
    </row>
    <row r="145" customFormat="false" ht="12.75" hidden="false" customHeight="false" outlineLevel="0" collapsed="false">
      <c r="B145" s="108" t="e">
        <f aca="false">([1]!edate,B144,1)</f>
        <v>#VALUE!</v>
      </c>
      <c r="C145" s="109" t="e">
        <f aca="false">IF($C$11="Physical",B146+24,B146)</f>
        <v>#VALUE!</v>
      </c>
      <c r="D145" s="110" t="n">
        <v>0</v>
      </c>
      <c r="E145" s="111" t="e">
        <f aca="false">VLOOKUP($B145,Model!$A$8:$E$289,5)</f>
        <v>#VALUE!</v>
      </c>
      <c r="F145" s="111" t="e">
        <f aca="false">VLOOKUP($B145,Model!$A$8:$F$289,6)</f>
        <v>#VALUE!</v>
      </c>
      <c r="G145" s="127" t="e">
        <f aca="false">VLOOKUP($B145,Model!$A$8:$AO$289,41)</f>
        <v>#VALUE!</v>
      </c>
      <c r="I145" s="113" t="n">
        <v>0</v>
      </c>
      <c r="J145" s="114" t="e">
        <f aca="false">VLOOKUP($B145,Curve_Fetch,3)</f>
        <v>#VALUE!</v>
      </c>
      <c r="K145" s="121" t="n">
        <f aca="false">K144</f>
        <v>0</v>
      </c>
      <c r="L145" s="116" t="e">
        <f aca="false">IF(Control!$Y$26=Control!$X$27,J145,I145)+K145</f>
        <v>#VALUE!</v>
      </c>
      <c r="M145" s="113" t="n">
        <v>0</v>
      </c>
      <c r="N145" s="114" t="e">
        <f aca="false">VLOOKUP($B145,Curve_Fetch,VLOOKUP(Control!$AJ$10,Control!$AI$11:$AK$22,3))</f>
        <v>#VALUE!</v>
      </c>
      <c r="O145" s="121" t="n">
        <f aca="false">O144</f>
        <v>0</v>
      </c>
      <c r="P145" s="116" t="e">
        <f aca="false">IF(Control!$Y$31=Control!$X$32,N145,M145)+O145</f>
        <v>#VALUE!</v>
      </c>
      <c r="Q145" s="113" t="n">
        <v>0</v>
      </c>
      <c r="R145" s="114" t="e">
        <f aca="false">VLOOKUP($B145,Curve_Fetch,(VLOOKUP(Control!$AJ$10,Control!$AI$11:$AL$22,4)))</f>
        <v>#VALUE!</v>
      </c>
      <c r="S145" s="121" t="n">
        <f aca="false">S144</f>
        <v>0</v>
      </c>
      <c r="T145" s="116" t="e">
        <f aca="false">IF($C$11="Physical",IF(Control!$Y$37=Control!$X$38,R145,Q145)+S145,0)</f>
        <v>#VALUE!</v>
      </c>
      <c r="U145" s="117" t="e">
        <f aca="false">IF($C$11="Financial",L145+P145,L145+P145+T145)</f>
        <v>#VALUE!</v>
      </c>
      <c r="V145" s="114"/>
      <c r="W145" s="118" t="e">
        <f aca="false">VLOOKUP($B145,Model!$A$8:$S$289,19)</f>
        <v>#VALUE!</v>
      </c>
      <c r="X145" s="120" t="n">
        <f aca="false">X144</f>
        <v>0</v>
      </c>
      <c r="Y145" s="120" t="e">
        <f aca="false">W145+X145</f>
        <v>#VALUE!</v>
      </c>
      <c r="Z145" s="121" t="n">
        <f aca="false">Z144</f>
        <v>0</v>
      </c>
      <c r="AA145" s="121" t="e">
        <f aca="false">U145+Z145</f>
        <v>#VALUE!</v>
      </c>
      <c r="AB145" s="128" t="e">
        <f aca="false">EURO(U145,AA145,VLOOKUP($B145,Curve_Fetch,2),VLOOKUP($B145,Curve_Fetch,2),Y145,VLOOKUP($B145,Model!$A$8:$R$289,18),IF(Euro!$C$10="Call",1,0),0)</f>
        <v>#VALUE!</v>
      </c>
      <c r="AD145" s="123" t="e">
        <f aca="false">$G145*L145</f>
        <v>#VALUE!</v>
      </c>
      <c r="AE145" s="124" t="e">
        <f aca="false">$G145*P145</f>
        <v>#VALUE!</v>
      </c>
      <c r="AF145" s="124" t="e">
        <f aca="false">$G145*T145</f>
        <v>#VALUE!</v>
      </c>
      <c r="AG145" s="124" t="e">
        <f aca="false">$G145*U145</f>
        <v>#VALUE!</v>
      </c>
      <c r="AH145" s="124" t="e">
        <f aca="false">$G145*AA145</f>
        <v>#VALUE!</v>
      </c>
      <c r="AI145" s="125" t="e">
        <f aca="false">$F145*AB145</f>
        <v>#VALUE!</v>
      </c>
      <c r="AK145" s="0"/>
      <c r="AL145" s="0"/>
      <c r="AM145" s="0"/>
      <c r="AN145" s="0"/>
      <c r="AO145" s="0"/>
      <c r="AP145" s="0"/>
      <c r="AQ145" s="0"/>
      <c r="AR145" s="0"/>
    </row>
    <row r="146" customFormat="false" ht="12.75" hidden="false" customHeight="false" outlineLevel="0" collapsed="false">
      <c r="B146" s="108" t="e">
        <f aca="false">([1]!edate,B145,1)</f>
        <v>#VALUE!</v>
      </c>
      <c r="C146" s="109" t="e">
        <f aca="false">IF($C$11="Physical",B147+24,B147)</f>
        <v>#VALUE!</v>
      </c>
      <c r="D146" s="110" t="n">
        <v>0</v>
      </c>
      <c r="E146" s="111" t="e">
        <f aca="false">VLOOKUP($B146,Model!$A$8:$E$289,5)</f>
        <v>#VALUE!</v>
      </c>
      <c r="F146" s="111" t="e">
        <f aca="false">VLOOKUP($B146,Model!$A$8:$F$289,6)</f>
        <v>#VALUE!</v>
      </c>
      <c r="G146" s="127" t="e">
        <f aca="false">VLOOKUP($B146,Model!$A$8:$AO$289,41)</f>
        <v>#VALUE!</v>
      </c>
      <c r="I146" s="113" t="n">
        <v>0</v>
      </c>
      <c r="J146" s="114" t="e">
        <f aca="false">VLOOKUP($B146,Curve_Fetch,3)</f>
        <v>#VALUE!</v>
      </c>
      <c r="K146" s="121" t="n">
        <f aca="false">K145</f>
        <v>0</v>
      </c>
      <c r="L146" s="116" t="e">
        <f aca="false">IF(Control!$Y$26=Control!$X$27,J146,I146)+K146</f>
        <v>#VALUE!</v>
      </c>
      <c r="M146" s="113" t="n">
        <v>0</v>
      </c>
      <c r="N146" s="114" t="e">
        <f aca="false">VLOOKUP($B146,Curve_Fetch,VLOOKUP(Control!$AJ$10,Control!$AI$11:$AK$22,3))</f>
        <v>#VALUE!</v>
      </c>
      <c r="O146" s="121" t="n">
        <f aca="false">O145</f>
        <v>0</v>
      </c>
      <c r="P146" s="116" t="e">
        <f aca="false">IF(Control!$Y$31=Control!$X$32,N146,M146)+O146</f>
        <v>#VALUE!</v>
      </c>
      <c r="Q146" s="113" t="n">
        <v>0</v>
      </c>
      <c r="R146" s="114" t="e">
        <f aca="false">VLOOKUP($B146,Curve_Fetch,(VLOOKUP(Control!$AJ$10,Control!$AI$11:$AL$22,4)))</f>
        <v>#VALUE!</v>
      </c>
      <c r="S146" s="121" t="n">
        <f aca="false">S145</f>
        <v>0</v>
      </c>
      <c r="T146" s="116" t="e">
        <f aca="false">IF($C$11="Physical",IF(Control!$Y$37=Control!$X$38,R146,Q146)+S146,0)</f>
        <v>#VALUE!</v>
      </c>
      <c r="U146" s="117" t="e">
        <f aca="false">IF($C$11="Financial",L146+P146,L146+P146+T146)</f>
        <v>#VALUE!</v>
      </c>
      <c r="V146" s="114"/>
      <c r="W146" s="118" t="e">
        <f aca="false">VLOOKUP($B146,Model!$A$8:$S$289,19)</f>
        <v>#VALUE!</v>
      </c>
      <c r="X146" s="120" t="n">
        <f aca="false">X145</f>
        <v>0</v>
      </c>
      <c r="Y146" s="120" t="e">
        <f aca="false">W146+X146</f>
        <v>#VALUE!</v>
      </c>
      <c r="Z146" s="121" t="n">
        <f aca="false">Z145</f>
        <v>0</v>
      </c>
      <c r="AA146" s="121" t="e">
        <f aca="false">U146+Z146</f>
        <v>#VALUE!</v>
      </c>
      <c r="AB146" s="128" t="e">
        <f aca="false">EURO(U146,AA146,VLOOKUP($B146,Curve_Fetch,2),VLOOKUP($B146,Curve_Fetch,2),Y146,VLOOKUP($B146,Model!$A$8:$R$289,18),IF(Euro!$C$10="Call",1,0),0)</f>
        <v>#VALUE!</v>
      </c>
      <c r="AD146" s="123" t="e">
        <f aca="false">$G146*L146</f>
        <v>#VALUE!</v>
      </c>
      <c r="AE146" s="124" t="e">
        <f aca="false">$G146*P146</f>
        <v>#VALUE!</v>
      </c>
      <c r="AF146" s="124" t="e">
        <f aca="false">$G146*T146</f>
        <v>#VALUE!</v>
      </c>
      <c r="AG146" s="124" t="e">
        <f aca="false">$G146*U146</f>
        <v>#VALUE!</v>
      </c>
      <c r="AH146" s="124" t="e">
        <f aca="false">$G146*AA146</f>
        <v>#VALUE!</v>
      </c>
      <c r="AI146" s="125" t="e">
        <f aca="false">$F146*AB146</f>
        <v>#VALUE!</v>
      </c>
      <c r="AK146" s="0"/>
      <c r="AL146" s="0"/>
      <c r="AM146" s="0"/>
      <c r="AN146" s="0"/>
      <c r="AO146" s="0"/>
      <c r="AP146" s="0"/>
      <c r="AQ146" s="0"/>
      <c r="AR146" s="0"/>
    </row>
    <row r="147" customFormat="false" ht="12.75" hidden="false" customHeight="false" outlineLevel="0" collapsed="false">
      <c r="B147" s="108" t="e">
        <f aca="false">([1]!edate,B146,1)</f>
        <v>#VALUE!</v>
      </c>
      <c r="C147" s="109" t="e">
        <f aca="false">IF($C$11="Physical",B148+24,B148)</f>
        <v>#VALUE!</v>
      </c>
      <c r="D147" s="110" t="n">
        <v>0</v>
      </c>
      <c r="E147" s="111" t="e">
        <f aca="false">VLOOKUP($B147,Model!$A$8:$E$289,5)</f>
        <v>#VALUE!</v>
      </c>
      <c r="F147" s="111" t="e">
        <f aca="false">VLOOKUP($B147,Model!$A$8:$F$289,6)</f>
        <v>#VALUE!</v>
      </c>
      <c r="G147" s="127" t="e">
        <f aca="false">VLOOKUP($B147,Model!$A$8:$AO$289,41)</f>
        <v>#VALUE!</v>
      </c>
      <c r="I147" s="113" t="n">
        <v>0</v>
      </c>
      <c r="J147" s="114" t="e">
        <f aca="false">VLOOKUP($B147,Curve_Fetch,3)</f>
        <v>#VALUE!</v>
      </c>
      <c r="K147" s="121" t="n">
        <f aca="false">K146</f>
        <v>0</v>
      </c>
      <c r="L147" s="116" t="e">
        <f aca="false">IF(Control!$Y$26=Control!$X$27,J147,I147)+K147</f>
        <v>#VALUE!</v>
      </c>
      <c r="M147" s="113" t="n">
        <v>0</v>
      </c>
      <c r="N147" s="114" t="e">
        <f aca="false">VLOOKUP($B147,Curve_Fetch,VLOOKUP(Control!$AJ$10,Control!$AI$11:$AK$22,3))</f>
        <v>#VALUE!</v>
      </c>
      <c r="O147" s="121" t="n">
        <f aca="false">O146</f>
        <v>0</v>
      </c>
      <c r="P147" s="116" t="e">
        <f aca="false">IF(Control!$Y$31=Control!$X$32,N147,M147)+O147</f>
        <v>#VALUE!</v>
      </c>
      <c r="Q147" s="113" t="n">
        <v>0</v>
      </c>
      <c r="R147" s="114" t="e">
        <f aca="false">VLOOKUP($B147,Curve_Fetch,(VLOOKUP(Control!$AJ$10,Control!$AI$11:$AL$22,4)))</f>
        <v>#VALUE!</v>
      </c>
      <c r="S147" s="121" t="n">
        <f aca="false">S146</f>
        <v>0</v>
      </c>
      <c r="T147" s="116" t="e">
        <f aca="false">IF($C$11="Physical",IF(Control!$Y$37=Control!$X$38,R147,Q147)+S147,0)</f>
        <v>#VALUE!</v>
      </c>
      <c r="U147" s="117" t="e">
        <f aca="false">IF($C$11="Financial",L147+P147,L147+P147+T147)</f>
        <v>#VALUE!</v>
      </c>
      <c r="V147" s="114"/>
      <c r="W147" s="118" t="e">
        <f aca="false">VLOOKUP($B147,Model!$A$8:$S$289,19)</f>
        <v>#VALUE!</v>
      </c>
      <c r="X147" s="120" t="n">
        <f aca="false">X146</f>
        <v>0</v>
      </c>
      <c r="Y147" s="120" t="e">
        <f aca="false">W147+X147</f>
        <v>#VALUE!</v>
      </c>
      <c r="Z147" s="121" t="n">
        <f aca="false">Z146</f>
        <v>0</v>
      </c>
      <c r="AA147" s="121" t="e">
        <f aca="false">U147+Z147</f>
        <v>#VALUE!</v>
      </c>
      <c r="AB147" s="128" t="e">
        <f aca="false">EURO(U147,AA147,VLOOKUP($B147,Curve_Fetch,2),VLOOKUP($B147,Curve_Fetch,2),Y147,VLOOKUP($B147,Model!$A$8:$R$289,18),IF(Euro!$C$10="Call",1,0),0)</f>
        <v>#VALUE!</v>
      </c>
      <c r="AD147" s="123" t="e">
        <f aca="false">$G147*L147</f>
        <v>#VALUE!</v>
      </c>
      <c r="AE147" s="124" t="e">
        <f aca="false">$G147*P147</f>
        <v>#VALUE!</v>
      </c>
      <c r="AF147" s="124" t="e">
        <f aca="false">$G147*T147</f>
        <v>#VALUE!</v>
      </c>
      <c r="AG147" s="124" t="e">
        <f aca="false">$G147*U147</f>
        <v>#VALUE!</v>
      </c>
      <c r="AH147" s="124" t="e">
        <f aca="false">$G147*AA147</f>
        <v>#VALUE!</v>
      </c>
      <c r="AI147" s="125" t="e">
        <f aca="false">$F147*AB147</f>
        <v>#VALUE!</v>
      </c>
      <c r="AK147" s="0"/>
      <c r="AL147" s="0"/>
      <c r="AM147" s="0"/>
      <c r="AN147" s="0"/>
      <c r="AO147" s="0"/>
      <c r="AP147" s="0"/>
      <c r="AQ147" s="0"/>
      <c r="AR147" s="0"/>
    </row>
    <row r="148" customFormat="false" ht="12.75" hidden="false" customHeight="false" outlineLevel="0" collapsed="false">
      <c r="B148" s="108" t="e">
        <f aca="false">([1]!edate,B147,1)</f>
        <v>#VALUE!</v>
      </c>
      <c r="C148" s="109" t="e">
        <f aca="false">IF($C$11="Physical",B149+24,B149)</f>
        <v>#VALUE!</v>
      </c>
      <c r="D148" s="110" t="n">
        <v>0</v>
      </c>
      <c r="E148" s="111" t="e">
        <f aca="false">VLOOKUP($B148,Model!$A$8:$E$289,5)</f>
        <v>#VALUE!</v>
      </c>
      <c r="F148" s="111" t="e">
        <f aca="false">VLOOKUP($B148,Model!$A$8:$F$289,6)</f>
        <v>#VALUE!</v>
      </c>
      <c r="G148" s="127" t="e">
        <f aca="false">VLOOKUP($B148,Model!$A$8:$AO$289,41)</f>
        <v>#VALUE!</v>
      </c>
      <c r="I148" s="113" t="n">
        <v>0</v>
      </c>
      <c r="J148" s="114" t="e">
        <f aca="false">VLOOKUP($B148,Curve_Fetch,3)</f>
        <v>#VALUE!</v>
      </c>
      <c r="K148" s="121" t="n">
        <f aca="false">K147</f>
        <v>0</v>
      </c>
      <c r="L148" s="116" t="e">
        <f aca="false">IF(Control!$Y$26=Control!$X$27,J148,I148)+K148</f>
        <v>#VALUE!</v>
      </c>
      <c r="M148" s="113" t="n">
        <v>0</v>
      </c>
      <c r="N148" s="114" t="e">
        <f aca="false">VLOOKUP($B148,Curve_Fetch,VLOOKUP(Control!$AJ$10,Control!$AI$11:$AK$22,3))</f>
        <v>#VALUE!</v>
      </c>
      <c r="O148" s="121" t="n">
        <f aca="false">O147</f>
        <v>0</v>
      </c>
      <c r="P148" s="116" t="e">
        <f aca="false">IF(Control!$Y$31=Control!$X$32,N148,M148)+O148</f>
        <v>#VALUE!</v>
      </c>
      <c r="Q148" s="113" t="n">
        <v>0</v>
      </c>
      <c r="R148" s="114" t="e">
        <f aca="false">VLOOKUP($B148,Curve_Fetch,(VLOOKUP(Control!$AJ$10,Control!$AI$11:$AL$22,4)))</f>
        <v>#VALUE!</v>
      </c>
      <c r="S148" s="121" t="n">
        <f aca="false">S147</f>
        <v>0</v>
      </c>
      <c r="T148" s="116" t="e">
        <f aca="false">IF($C$11="Physical",IF(Control!$Y$37=Control!$X$38,R148,Q148)+S148,0)</f>
        <v>#VALUE!</v>
      </c>
      <c r="U148" s="117" t="e">
        <f aca="false">IF($C$11="Financial",L148+P148,L148+P148+T148)</f>
        <v>#VALUE!</v>
      </c>
      <c r="V148" s="114"/>
      <c r="W148" s="118" t="e">
        <f aca="false">VLOOKUP($B148,Model!$A$8:$S$289,19)</f>
        <v>#VALUE!</v>
      </c>
      <c r="X148" s="120" t="n">
        <f aca="false">X147</f>
        <v>0</v>
      </c>
      <c r="Y148" s="120" t="e">
        <f aca="false">W148+X148</f>
        <v>#VALUE!</v>
      </c>
      <c r="Z148" s="121" t="n">
        <f aca="false">Z147</f>
        <v>0</v>
      </c>
      <c r="AA148" s="121" t="e">
        <f aca="false">U148+Z148</f>
        <v>#VALUE!</v>
      </c>
      <c r="AB148" s="128" t="e">
        <f aca="false">EURO(U148,AA148,VLOOKUP($B148,Curve_Fetch,2),VLOOKUP($B148,Curve_Fetch,2),Y148,VLOOKUP($B148,Model!$A$8:$R$289,18),IF(Euro!$C$10="Call",1,0),0)</f>
        <v>#VALUE!</v>
      </c>
      <c r="AD148" s="123" t="e">
        <f aca="false">$G148*L148</f>
        <v>#VALUE!</v>
      </c>
      <c r="AE148" s="124" t="e">
        <f aca="false">$G148*P148</f>
        <v>#VALUE!</v>
      </c>
      <c r="AF148" s="124" t="e">
        <f aca="false">$G148*T148</f>
        <v>#VALUE!</v>
      </c>
      <c r="AG148" s="124" t="e">
        <f aca="false">$G148*U148</f>
        <v>#VALUE!</v>
      </c>
      <c r="AH148" s="124" t="e">
        <f aca="false">$G148*AA148</f>
        <v>#VALUE!</v>
      </c>
      <c r="AI148" s="125" t="e">
        <f aca="false">$F148*AB148</f>
        <v>#VALUE!</v>
      </c>
      <c r="AK148" s="0"/>
      <c r="AL148" s="0"/>
      <c r="AM148" s="0"/>
      <c r="AN148" s="0"/>
      <c r="AO148" s="0"/>
      <c r="AP148" s="0"/>
      <c r="AQ148" s="0"/>
      <c r="AR148" s="0"/>
    </row>
    <row r="149" customFormat="false" ht="12.75" hidden="false" customHeight="false" outlineLevel="0" collapsed="false">
      <c r="B149" s="108" t="e">
        <f aca="false">([1]!edate,B148,1)</f>
        <v>#VALUE!</v>
      </c>
      <c r="C149" s="109" t="e">
        <f aca="false">IF($C$11="Physical",B150+24,B150)</f>
        <v>#VALUE!</v>
      </c>
      <c r="D149" s="110" t="n">
        <v>0</v>
      </c>
      <c r="E149" s="111" t="e">
        <f aca="false">VLOOKUP($B149,Model!$A$8:$E$289,5)</f>
        <v>#VALUE!</v>
      </c>
      <c r="F149" s="111" t="e">
        <f aca="false">VLOOKUP($B149,Model!$A$8:$F$289,6)</f>
        <v>#VALUE!</v>
      </c>
      <c r="G149" s="127" t="e">
        <f aca="false">VLOOKUP($B149,Model!$A$8:$AO$289,41)</f>
        <v>#VALUE!</v>
      </c>
      <c r="I149" s="113" t="n">
        <v>0</v>
      </c>
      <c r="J149" s="114" t="e">
        <f aca="false">VLOOKUP($B149,Curve_Fetch,3)</f>
        <v>#VALUE!</v>
      </c>
      <c r="K149" s="121" t="n">
        <f aca="false">K148</f>
        <v>0</v>
      </c>
      <c r="L149" s="116" t="e">
        <f aca="false">IF(Control!$Y$26=Control!$X$27,J149,I149)+K149</f>
        <v>#VALUE!</v>
      </c>
      <c r="M149" s="113" t="n">
        <v>0</v>
      </c>
      <c r="N149" s="114" t="e">
        <f aca="false">VLOOKUP($B149,Curve_Fetch,VLOOKUP(Control!$AJ$10,Control!$AI$11:$AK$22,3))</f>
        <v>#VALUE!</v>
      </c>
      <c r="O149" s="121" t="n">
        <f aca="false">O148</f>
        <v>0</v>
      </c>
      <c r="P149" s="116" t="e">
        <f aca="false">IF(Control!$Y$31=Control!$X$32,N149,M149)+O149</f>
        <v>#VALUE!</v>
      </c>
      <c r="Q149" s="113" t="n">
        <v>0</v>
      </c>
      <c r="R149" s="114" t="e">
        <f aca="false">VLOOKUP($B149,Curve_Fetch,(VLOOKUP(Control!$AJ$10,Control!$AI$11:$AL$22,4)))</f>
        <v>#VALUE!</v>
      </c>
      <c r="S149" s="121" t="n">
        <f aca="false">S148</f>
        <v>0</v>
      </c>
      <c r="T149" s="116" t="e">
        <f aca="false">IF($C$11="Physical",IF(Control!$Y$37=Control!$X$38,R149,Q149)+S149,0)</f>
        <v>#VALUE!</v>
      </c>
      <c r="U149" s="117" t="e">
        <f aca="false">IF($C$11="Financial",L149+P149,L149+P149+T149)</f>
        <v>#VALUE!</v>
      </c>
      <c r="V149" s="114"/>
      <c r="W149" s="118" t="e">
        <f aca="false">VLOOKUP($B149,Model!$A$8:$S$289,19)</f>
        <v>#VALUE!</v>
      </c>
      <c r="X149" s="120" t="n">
        <f aca="false">X148</f>
        <v>0</v>
      </c>
      <c r="Y149" s="120" t="e">
        <f aca="false">W149+X149</f>
        <v>#VALUE!</v>
      </c>
      <c r="Z149" s="121" t="n">
        <f aca="false">Z148</f>
        <v>0</v>
      </c>
      <c r="AA149" s="121" t="e">
        <f aca="false">U149+Z149</f>
        <v>#VALUE!</v>
      </c>
      <c r="AB149" s="128" t="e">
        <f aca="false">EURO(U149,AA149,VLOOKUP($B149,Curve_Fetch,2),VLOOKUP($B149,Curve_Fetch,2),Y149,VLOOKUP($B149,Model!$A$8:$R$289,18),IF(Euro!$C$10="Call",1,0),0)</f>
        <v>#VALUE!</v>
      </c>
      <c r="AD149" s="123" t="e">
        <f aca="false">$G149*L149</f>
        <v>#VALUE!</v>
      </c>
      <c r="AE149" s="124" t="e">
        <f aca="false">$G149*P149</f>
        <v>#VALUE!</v>
      </c>
      <c r="AF149" s="124" t="e">
        <f aca="false">$G149*T149</f>
        <v>#VALUE!</v>
      </c>
      <c r="AG149" s="124" t="e">
        <f aca="false">$G149*U149</f>
        <v>#VALUE!</v>
      </c>
      <c r="AH149" s="124" t="e">
        <f aca="false">$G149*AA149</f>
        <v>#VALUE!</v>
      </c>
      <c r="AI149" s="125" t="e">
        <f aca="false">$F149*AB149</f>
        <v>#VALUE!</v>
      </c>
      <c r="AK149" s="0"/>
      <c r="AL149" s="0"/>
      <c r="AM149" s="0"/>
      <c r="AN149" s="0"/>
      <c r="AO149" s="0"/>
      <c r="AP149" s="0"/>
      <c r="AQ149" s="0"/>
      <c r="AR149" s="0"/>
    </row>
    <row r="150" customFormat="false" ht="12.75" hidden="false" customHeight="false" outlineLevel="0" collapsed="false">
      <c r="B150" s="108" t="e">
        <f aca="false">([1]!edate,B149,1)</f>
        <v>#VALUE!</v>
      </c>
      <c r="C150" s="109" t="e">
        <f aca="false">IF($C$11="Physical",B151+24,B151)</f>
        <v>#VALUE!</v>
      </c>
      <c r="D150" s="110" t="n">
        <v>0</v>
      </c>
      <c r="E150" s="111" t="e">
        <f aca="false">VLOOKUP($B150,Model!$A$8:$E$289,5)</f>
        <v>#VALUE!</v>
      </c>
      <c r="F150" s="111" t="e">
        <f aca="false">VLOOKUP($B150,Model!$A$8:$F$289,6)</f>
        <v>#VALUE!</v>
      </c>
      <c r="G150" s="127" t="e">
        <f aca="false">VLOOKUP($B150,Model!$A$8:$AO$289,41)</f>
        <v>#VALUE!</v>
      </c>
      <c r="I150" s="113" t="n">
        <v>0</v>
      </c>
      <c r="J150" s="114" t="e">
        <f aca="false">VLOOKUP($B150,Curve_Fetch,3)</f>
        <v>#VALUE!</v>
      </c>
      <c r="K150" s="121" t="n">
        <f aca="false">K149</f>
        <v>0</v>
      </c>
      <c r="L150" s="116" t="e">
        <f aca="false">IF(Control!$Y$26=Control!$X$27,J150,I150)+K150</f>
        <v>#VALUE!</v>
      </c>
      <c r="M150" s="113" t="n">
        <v>0</v>
      </c>
      <c r="N150" s="114" t="e">
        <f aca="false">VLOOKUP($B150,Curve_Fetch,VLOOKUP(Control!$AJ$10,Control!$AI$11:$AK$22,3))</f>
        <v>#VALUE!</v>
      </c>
      <c r="O150" s="121" t="n">
        <f aca="false">O149</f>
        <v>0</v>
      </c>
      <c r="P150" s="116" t="e">
        <f aca="false">IF(Control!$Y$31=Control!$X$32,N150,M150)+O150</f>
        <v>#VALUE!</v>
      </c>
      <c r="Q150" s="113" t="n">
        <v>0</v>
      </c>
      <c r="R150" s="114" t="e">
        <f aca="false">VLOOKUP($B150,Curve_Fetch,(VLOOKUP(Control!$AJ$10,Control!$AI$11:$AL$22,4)))</f>
        <v>#VALUE!</v>
      </c>
      <c r="S150" s="121" t="n">
        <f aca="false">S149</f>
        <v>0</v>
      </c>
      <c r="T150" s="116" t="e">
        <f aca="false">IF($C$11="Physical",IF(Control!$Y$37=Control!$X$38,R150,Q150)+S150,0)</f>
        <v>#VALUE!</v>
      </c>
      <c r="U150" s="117" t="e">
        <f aca="false">IF($C$11="Financial",L150+P150,L150+P150+T150)</f>
        <v>#VALUE!</v>
      </c>
      <c r="V150" s="114"/>
      <c r="W150" s="118" t="e">
        <f aca="false">VLOOKUP($B150,Model!$A$8:$S$289,19)</f>
        <v>#VALUE!</v>
      </c>
      <c r="X150" s="120" t="n">
        <f aca="false">X149</f>
        <v>0</v>
      </c>
      <c r="Y150" s="120" t="e">
        <f aca="false">W150+X150</f>
        <v>#VALUE!</v>
      </c>
      <c r="Z150" s="121" t="n">
        <f aca="false">Z149</f>
        <v>0</v>
      </c>
      <c r="AA150" s="121" t="e">
        <f aca="false">U150+Z150</f>
        <v>#VALUE!</v>
      </c>
      <c r="AB150" s="128" t="e">
        <f aca="false">EURO(U150,AA150,VLOOKUP($B150,Curve_Fetch,2),VLOOKUP($B150,Curve_Fetch,2),Y150,VLOOKUP($B150,Model!$A$8:$R$289,18),IF(Euro!$C$10="Call",1,0),0)</f>
        <v>#VALUE!</v>
      </c>
      <c r="AD150" s="123" t="e">
        <f aca="false">$G150*L150</f>
        <v>#VALUE!</v>
      </c>
      <c r="AE150" s="124" t="e">
        <f aca="false">$G150*P150</f>
        <v>#VALUE!</v>
      </c>
      <c r="AF150" s="124" t="e">
        <f aca="false">$G150*T150</f>
        <v>#VALUE!</v>
      </c>
      <c r="AG150" s="124" t="e">
        <f aca="false">$G150*U150</f>
        <v>#VALUE!</v>
      </c>
      <c r="AH150" s="124" t="e">
        <f aca="false">$G150*AA150</f>
        <v>#VALUE!</v>
      </c>
      <c r="AI150" s="125" t="e">
        <f aca="false">$F150*AB150</f>
        <v>#VALUE!</v>
      </c>
      <c r="AK150" s="0"/>
      <c r="AL150" s="0"/>
      <c r="AM150" s="0"/>
      <c r="AN150" s="0"/>
      <c r="AO150" s="0"/>
      <c r="AP150" s="0"/>
      <c r="AQ150" s="0"/>
      <c r="AR150" s="0"/>
    </row>
    <row r="151" customFormat="false" ht="12.75" hidden="false" customHeight="false" outlineLevel="0" collapsed="false">
      <c r="B151" s="108" t="e">
        <f aca="false">([1]!edate,B150,1)</f>
        <v>#VALUE!</v>
      </c>
      <c r="C151" s="109" t="e">
        <f aca="false">IF($C$11="Physical",B152+24,B152)</f>
        <v>#VALUE!</v>
      </c>
      <c r="D151" s="110" t="n">
        <v>0</v>
      </c>
      <c r="E151" s="111" t="e">
        <f aca="false">VLOOKUP($B151,Model!$A$8:$E$289,5)</f>
        <v>#VALUE!</v>
      </c>
      <c r="F151" s="111" t="e">
        <f aca="false">VLOOKUP($B151,Model!$A$8:$F$289,6)</f>
        <v>#VALUE!</v>
      </c>
      <c r="G151" s="127" t="e">
        <f aca="false">VLOOKUP($B151,Model!$A$8:$AO$289,41)</f>
        <v>#VALUE!</v>
      </c>
      <c r="I151" s="113" t="n">
        <v>0</v>
      </c>
      <c r="J151" s="114" t="e">
        <f aca="false">VLOOKUP($B151,Curve_Fetch,3)</f>
        <v>#VALUE!</v>
      </c>
      <c r="K151" s="121" t="n">
        <f aca="false">K150</f>
        <v>0</v>
      </c>
      <c r="L151" s="116" t="e">
        <f aca="false">IF(Control!$Y$26=Control!$X$27,J151,I151)+K151</f>
        <v>#VALUE!</v>
      </c>
      <c r="M151" s="113" t="n">
        <v>0</v>
      </c>
      <c r="N151" s="114" t="e">
        <f aca="false">VLOOKUP($B151,Curve_Fetch,VLOOKUP(Control!$AJ$10,Control!$AI$11:$AK$22,3))</f>
        <v>#VALUE!</v>
      </c>
      <c r="O151" s="121" t="n">
        <f aca="false">O150</f>
        <v>0</v>
      </c>
      <c r="P151" s="116" t="e">
        <f aca="false">IF(Control!$Y$31=Control!$X$32,N151,M151)+O151</f>
        <v>#VALUE!</v>
      </c>
      <c r="Q151" s="113" t="n">
        <v>0</v>
      </c>
      <c r="R151" s="114" t="e">
        <f aca="false">VLOOKUP($B151,Curve_Fetch,(VLOOKUP(Control!$AJ$10,Control!$AI$11:$AL$22,4)))</f>
        <v>#VALUE!</v>
      </c>
      <c r="S151" s="121" t="n">
        <f aca="false">S150</f>
        <v>0</v>
      </c>
      <c r="T151" s="116" t="e">
        <f aca="false">IF($C$11="Physical",IF(Control!$Y$37=Control!$X$38,R151,Q151)+S151,0)</f>
        <v>#VALUE!</v>
      </c>
      <c r="U151" s="117" t="e">
        <f aca="false">IF($C$11="Financial",L151+P151,L151+P151+T151)</f>
        <v>#VALUE!</v>
      </c>
      <c r="V151" s="114"/>
      <c r="W151" s="118" t="e">
        <f aca="false">VLOOKUP($B151,Model!$A$8:$S$289,19)</f>
        <v>#VALUE!</v>
      </c>
      <c r="X151" s="120" t="n">
        <f aca="false">X150</f>
        <v>0</v>
      </c>
      <c r="Y151" s="120" t="e">
        <f aca="false">W151+X151</f>
        <v>#VALUE!</v>
      </c>
      <c r="Z151" s="121" t="n">
        <f aca="false">Z150</f>
        <v>0</v>
      </c>
      <c r="AA151" s="121" t="e">
        <f aca="false">U151+Z151</f>
        <v>#VALUE!</v>
      </c>
      <c r="AB151" s="128" t="e">
        <f aca="false">EURO(U151,AA151,VLOOKUP($B151,Curve_Fetch,2),VLOOKUP($B151,Curve_Fetch,2),Y151,VLOOKUP($B151,Model!$A$8:$R$289,18),IF(Euro!$C$10="Call",1,0),0)</f>
        <v>#VALUE!</v>
      </c>
      <c r="AD151" s="123" t="e">
        <f aca="false">$G151*L151</f>
        <v>#VALUE!</v>
      </c>
      <c r="AE151" s="124" t="e">
        <f aca="false">$G151*P151</f>
        <v>#VALUE!</v>
      </c>
      <c r="AF151" s="124" t="e">
        <f aca="false">$G151*T151</f>
        <v>#VALUE!</v>
      </c>
      <c r="AG151" s="124" t="e">
        <f aca="false">$G151*U151</f>
        <v>#VALUE!</v>
      </c>
      <c r="AH151" s="124" t="e">
        <f aca="false">$G151*AA151</f>
        <v>#VALUE!</v>
      </c>
      <c r="AI151" s="125" t="e">
        <f aca="false">$F151*AB151</f>
        <v>#VALUE!</v>
      </c>
      <c r="AK151" s="0"/>
      <c r="AL151" s="0"/>
      <c r="AM151" s="0"/>
      <c r="AN151" s="0"/>
      <c r="AO151" s="0"/>
      <c r="AP151" s="0"/>
      <c r="AQ151" s="0"/>
      <c r="AR151" s="0"/>
    </row>
    <row r="152" customFormat="false" ht="12.75" hidden="false" customHeight="false" outlineLevel="0" collapsed="false">
      <c r="B152" s="108" t="e">
        <f aca="false">([1]!edate,B151,1)</f>
        <v>#VALUE!</v>
      </c>
      <c r="C152" s="109" t="e">
        <f aca="false">IF($C$11="Physical",B153+24,B153)</f>
        <v>#VALUE!</v>
      </c>
      <c r="D152" s="110" t="n">
        <v>0</v>
      </c>
      <c r="E152" s="111" t="e">
        <f aca="false">VLOOKUP($B152,Model!$A$8:$E$289,5)</f>
        <v>#VALUE!</v>
      </c>
      <c r="F152" s="111" t="e">
        <f aca="false">VLOOKUP($B152,Model!$A$8:$F$289,6)</f>
        <v>#VALUE!</v>
      </c>
      <c r="G152" s="127" t="e">
        <f aca="false">VLOOKUP($B152,Model!$A$8:$AO$289,41)</f>
        <v>#VALUE!</v>
      </c>
      <c r="I152" s="113" t="n">
        <v>0</v>
      </c>
      <c r="J152" s="114" t="e">
        <f aca="false">VLOOKUP($B152,Curve_Fetch,3)</f>
        <v>#VALUE!</v>
      </c>
      <c r="K152" s="121" t="n">
        <f aca="false">K151</f>
        <v>0</v>
      </c>
      <c r="L152" s="116" t="e">
        <f aca="false">IF(Control!$Y$26=Control!$X$27,J152,I152)+K152</f>
        <v>#VALUE!</v>
      </c>
      <c r="M152" s="113" t="n">
        <v>0</v>
      </c>
      <c r="N152" s="114" t="e">
        <f aca="false">VLOOKUP($B152,Curve_Fetch,VLOOKUP(Control!$AJ$10,Control!$AI$11:$AK$22,3))</f>
        <v>#VALUE!</v>
      </c>
      <c r="O152" s="121" t="n">
        <f aca="false">O151</f>
        <v>0</v>
      </c>
      <c r="P152" s="116" t="e">
        <f aca="false">IF(Control!$Y$31=Control!$X$32,N152,M152)+O152</f>
        <v>#VALUE!</v>
      </c>
      <c r="Q152" s="113" t="n">
        <v>0</v>
      </c>
      <c r="R152" s="114" t="e">
        <f aca="false">VLOOKUP($B152,Curve_Fetch,(VLOOKUP(Control!$AJ$10,Control!$AI$11:$AL$22,4)))</f>
        <v>#VALUE!</v>
      </c>
      <c r="S152" s="121" t="n">
        <f aca="false">S151</f>
        <v>0</v>
      </c>
      <c r="T152" s="116" t="e">
        <f aca="false">IF($C$11="Physical",IF(Control!$Y$37=Control!$X$38,R152,Q152)+S152,0)</f>
        <v>#VALUE!</v>
      </c>
      <c r="U152" s="117" t="e">
        <f aca="false">IF($C$11="Financial",L152+P152,L152+P152+T152)</f>
        <v>#VALUE!</v>
      </c>
      <c r="V152" s="114"/>
      <c r="W152" s="118" t="e">
        <f aca="false">VLOOKUP($B152,Model!$A$8:$S$289,19)</f>
        <v>#VALUE!</v>
      </c>
      <c r="X152" s="120" t="n">
        <f aca="false">X151</f>
        <v>0</v>
      </c>
      <c r="Y152" s="120" t="e">
        <f aca="false">W152+X152</f>
        <v>#VALUE!</v>
      </c>
      <c r="Z152" s="121" t="n">
        <f aca="false">Z151</f>
        <v>0</v>
      </c>
      <c r="AA152" s="121" t="e">
        <f aca="false">U152+Z152</f>
        <v>#VALUE!</v>
      </c>
      <c r="AB152" s="128" t="e">
        <f aca="false">EURO(U152,AA152,VLOOKUP($B152,Curve_Fetch,2),VLOOKUP($B152,Curve_Fetch,2),Y152,VLOOKUP($B152,Model!$A$8:$R$289,18),IF(Euro!$C$10="Call",1,0),0)</f>
        <v>#VALUE!</v>
      </c>
      <c r="AD152" s="123" t="e">
        <f aca="false">$G152*L152</f>
        <v>#VALUE!</v>
      </c>
      <c r="AE152" s="124" t="e">
        <f aca="false">$G152*P152</f>
        <v>#VALUE!</v>
      </c>
      <c r="AF152" s="124" t="e">
        <f aca="false">$G152*T152</f>
        <v>#VALUE!</v>
      </c>
      <c r="AG152" s="124" t="e">
        <f aca="false">$G152*U152</f>
        <v>#VALUE!</v>
      </c>
      <c r="AH152" s="124" t="e">
        <f aca="false">$G152*AA152</f>
        <v>#VALUE!</v>
      </c>
      <c r="AI152" s="125" t="e">
        <f aca="false">$F152*AB152</f>
        <v>#VALUE!</v>
      </c>
      <c r="AK152" s="0"/>
      <c r="AL152" s="0"/>
      <c r="AM152" s="0"/>
      <c r="AN152" s="0"/>
      <c r="AO152" s="0"/>
      <c r="AP152" s="0"/>
      <c r="AQ152" s="0"/>
      <c r="AR152" s="0"/>
    </row>
    <row r="153" customFormat="false" ht="12.75" hidden="false" customHeight="false" outlineLevel="0" collapsed="false">
      <c r="B153" s="108" t="e">
        <f aca="false">([1]!edate,B152,1)</f>
        <v>#VALUE!</v>
      </c>
      <c r="C153" s="109" t="e">
        <f aca="false">IF($C$11="Physical",B154+24,B154)</f>
        <v>#VALUE!</v>
      </c>
      <c r="D153" s="110" t="n">
        <v>0</v>
      </c>
      <c r="E153" s="111" t="e">
        <f aca="false">VLOOKUP($B153,Model!$A$8:$E$289,5)</f>
        <v>#VALUE!</v>
      </c>
      <c r="F153" s="111" t="e">
        <f aca="false">VLOOKUP($B153,Model!$A$8:$F$289,6)</f>
        <v>#VALUE!</v>
      </c>
      <c r="G153" s="127" t="e">
        <f aca="false">VLOOKUP($B153,Model!$A$8:$AO$289,41)</f>
        <v>#VALUE!</v>
      </c>
      <c r="I153" s="113" t="n">
        <v>0</v>
      </c>
      <c r="J153" s="114" t="e">
        <f aca="false">VLOOKUP($B153,Curve_Fetch,3)</f>
        <v>#VALUE!</v>
      </c>
      <c r="K153" s="121" t="n">
        <f aca="false">K152</f>
        <v>0</v>
      </c>
      <c r="L153" s="116" t="e">
        <f aca="false">IF(Control!$Y$26=Control!$X$27,J153,I153)+K153</f>
        <v>#VALUE!</v>
      </c>
      <c r="M153" s="113" t="n">
        <v>0</v>
      </c>
      <c r="N153" s="114" t="e">
        <f aca="false">VLOOKUP($B153,Curve_Fetch,VLOOKUP(Control!$AJ$10,Control!$AI$11:$AK$22,3))</f>
        <v>#VALUE!</v>
      </c>
      <c r="O153" s="121" t="n">
        <f aca="false">O152</f>
        <v>0</v>
      </c>
      <c r="P153" s="116" t="e">
        <f aca="false">IF(Control!$Y$31=Control!$X$32,N153,M153)+O153</f>
        <v>#VALUE!</v>
      </c>
      <c r="Q153" s="113" t="n">
        <v>0</v>
      </c>
      <c r="R153" s="114" t="e">
        <f aca="false">VLOOKUP($B153,Curve_Fetch,(VLOOKUP(Control!$AJ$10,Control!$AI$11:$AL$22,4)))</f>
        <v>#VALUE!</v>
      </c>
      <c r="S153" s="121" t="n">
        <f aca="false">S152</f>
        <v>0</v>
      </c>
      <c r="T153" s="116" t="e">
        <f aca="false">IF($C$11="Physical",IF(Control!$Y$37=Control!$X$38,R153,Q153)+S153,0)</f>
        <v>#VALUE!</v>
      </c>
      <c r="U153" s="117" t="e">
        <f aca="false">IF($C$11="Financial",L153+P153,L153+P153+T153)</f>
        <v>#VALUE!</v>
      </c>
      <c r="V153" s="114"/>
      <c r="W153" s="118" t="e">
        <f aca="false">VLOOKUP($B153,Model!$A$8:$S$289,19)</f>
        <v>#VALUE!</v>
      </c>
      <c r="X153" s="120" t="n">
        <f aca="false">X152</f>
        <v>0</v>
      </c>
      <c r="Y153" s="120" t="e">
        <f aca="false">W153+X153</f>
        <v>#VALUE!</v>
      </c>
      <c r="Z153" s="121" t="n">
        <f aca="false">Z152</f>
        <v>0</v>
      </c>
      <c r="AA153" s="121" t="e">
        <f aca="false">U153+Z153</f>
        <v>#VALUE!</v>
      </c>
      <c r="AB153" s="128" t="e">
        <f aca="false">EURO(U153,AA153,VLOOKUP($B153,Curve_Fetch,2),VLOOKUP($B153,Curve_Fetch,2),Y153,VLOOKUP($B153,Model!$A$8:$R$289,18),IF(Euro!$C$10="Call",1,0),0)</f>
        <v>#VALUE!</v>
      </c>
      <c r="AD153" s="123" t="e">
        <f aca="false">$G153*L153</f>
        <v>#VALUE!</v>
      </c>
      <c r="AE153" s="124" t="e">
        <f aca="false">$G153*P153</f>
        <v>#VALUE!</v>
      </c>
      <c r="AF153" s="124" t="e">
        <f aca="false">$G153*T153</f>
        <v>#VALUE!</v>
      </c>
      <c r="AG153" s="124" t="e">
        <f aca="false">$G153*U153</f>
        <v>#VALUE!</v>
      </c>
      <c r="AH153" s="124" t="e">
        <f aca="false">$G153*AA153</f>
        <v>#VALUE!</v>
      </c>
      <c r="AI153" s="125" t="e">
        <f aca="false">$F153*AB153</f>
        <v>#VALUE!</v>
      </c>
      <c r="AK153" s="0"/>
      <c r="AL153" s="0"/>
      <c r="AM153" s="0"/>
      <c r="AN153" s="0"/>
      <c r="AO153" s="0"/>
      <c r="AP153" s="0"/>
      <c r="AQ153" s="0"/>
      <c r="AR153" s="0"/>
    </row>
    <row r="154" customFormat="false" ht="12.75" hidden="false" customHeight="false" outlineLevel="0" collapsed="false">
      <c r="B154" s="108" t="e">
        <f aca="false">([1]!edate,B153,1)</f>
        <v>#VALUE!</v>
      </c>
      <c r="C154" s="109" t="e">
        <f aca="false">IF($C$11="Physical",B155+24,B155)</f>
        <v>#VALUE!</v>
      </c>
      <c r="D154" s="110" t="n">
        <v>0</v>
      </c>
      <c r="E154" s="111" t="e">
        <f aca="false">VLOOKUP($B154,Model!$A$8:$E$289,5)</f>
        <v>#VALUE!</v>
      </c>
      <c r="F154" s="111" t="e">
        <f aca="false">VLOOKUP($B154,Model!$A$8:$F$289,6)</f>
        <v>#VALUE!</v>
      </c>
      <c r="G154" s="127" t="e">
        <f aca="false">VLOOKUP($B154,Model!$A$8:$AO$289,41)</f>
        <v>#VALUE!</v>
      </c>
      <c r="I154" s="113" t="n">
        <v>0</v>
      </c>
      <c r="J154" s="114" t="e">
        <f aca="false">VLOOKUP($B154,Curve_Fetch,3)</f>
        <v>#VALUE!</v>
      </c>
      <c r="K154" s="121" t="n">
        <f aca="false">K153</f>
        <v>0</v>
      </c>
      <c r="L154" s="116" t="e">
        <f aca="false">IF(Control!$Y$26=Control!$X$27,J154,I154)+K154</f>
        <v>#VALUE!</v>
      </c>
      <c r="M154" s="113" t="n">
        <v>0</v>
      </c>
      <c r="N154" s="114" t="e">
        <f aca="false">VLOOKUP($B154,Curve_Fetch,VLOOKUP(Control!$AJ$10,Control!$AI$11:$AK$22,3))</f>
        <v>#VALUE!</v>
      </c>
      <c r="O154" s="121" t="n">
        <f aca="false">O153</f>
        <v>0</v>
      </c>
      <c r="P154" s="116" t="e">
        <f aca="false">IF(Control!$Y$31=Control!$X$32,N154,M154)+O154</f>
        <v>#VALUE!</v>
      </c>
      <c r="Q154" s="113" t="n">
        <v>0</v>
      </c>
      <c r="R154" s="114" t="e">
        <f aca="false">VLOOKUP($B154,Curve_Fetch,(VLOOKUP(Control!$AJ$10,Control!$AI$11:$AL$22,4)))</f>
        <v>#VALUE!</v>
      </c>
      <c r="S154" s="121" t="n">
        <f aca="false">S153</f>
        <v>0</v>
      </c>
      <c r="T154" s="116" t="e">
        <f aca="false">IF($C$11="Physical",IF(Control!$Y$37=Control!$X$38,R154,Q154)+S154,0)</f>
        <v>#VALUE!</v>
      </c>
      <c r="U154" s="117" t="e">
        <f aca="false">IF($C$11="Financial",L154+P154,L154+P154+T154)</f>
        <v>#VALUE!</v>
      </c>
      <c r="V154" s="114"/>
      <c r="W154" s="118" t="e">
        <f aca="false">VLOOKUP($B154,Model!$A$8:$S$289,19)</f>
        <v>#VALUE!</v>
      </c>
      <c r="X154" s="120" t="n">
        <f aca="false">X153</f>
        <v>0</v>
      </c>
      <c r="Y154" s="120" t="e">
        <f aca="false">W154+X154</f>
        <v>#VALUE!</v>
      </c>
      <c r="Z154" s="121" t="n">
        <f aca="false">Z153</f>
        <v>0</v>
      </c>
      <c r="AA154" s="121" t="e">
        <f aca="false">U154+Z154</f>
        <v>#VALUE!</v>
      </c>
      <c r="AB154" s="128" t="e">
        <f aca="false">EURO(U154,AA154,VLOOKUP($B154,Curve_Fetch,2),VLOOKUP($B154,Curve_Fetch,2),Y154,VLOOKUP($B154,Model!$A$8:$R$289,18),IF(Euro!$C$10="Call",1,0),0)</f>
        <v>#VALUE!</v>
      </c>
      <c r="AD154" s="123" t="e">
        <f aca="false">$G154*L154</f>
        <v>#VALUE!</v>
      </c>
      <c r="AE154" s="124" t="e">
        <f aca="false">$G154*P154</f>
        <v>#VALUE!</v>
      </c>
      <c r="AF154" s="124" t="e">
        <f aca="false">$G154*T154</f>
        <v>#VALUE!</v>
      </c>
      <c r="AG154" s="124" t="e">
        <f aca="false">$G154*U154</f>
        <v>#VALUE!</v>
      </c>
      <c r="AH154" s="124" t="e">
        <f aca="false">$G154*AA154</f>
        <v>#VALUE!</v>
      </c>
      <c r="AI154" s="125" t="e">
        <f aca="false">$F154*AB154</f>
        <v>#VALUE!</v>
      </c>
      <c r="AK154" s="0"/>
      <c r="AL154" s="0"/>
      <c r="AM154" s="0"/>
      <c r="AN154" s="0"/>
      <c r="AO154" s="0"/>
      <c r="AP154" s="0"/>
      <c r="AQ154" s="0"/>
      <c r="AR154" s="0"/>
    </row>
    <row r="155" customFormat="false" ht="12.75" hidden="false" customHeight="false" outlineLevel="0" collapsed="false">
      <c r="B155" s="108" t="e">
        <f aca="false">([1]!edate,B154,1)</f>
        <v>#VALUE!</v>
      </c>
      <c r="C155" s="109" t="e">
        <f aca="false">IF($C$11="Physical",B156+24,B156)</f>
        <v>#VALUE!</v>
      </c>
      <c r="D155" s="110" t="n">
        <v>0</v>
      </c>
      <c r="E155" s="111" t="e">
        <f aca="false">VLOOKUP($B155,Model!$A$8:$E$289,5)</f>
        <v>#VALUE!</v>
      </c>
      <c r="F155" s="111" t="e">
        <f aca="false">VLOOKUP($B155,Model!$A$8:$F$289,6)</f>
        <v>#VALUE!</v>
      </c>
      <c r="G155" s="127" t="e">
        <f aca="false">VLOOKUP($B155,Model!$A$8:$AO$289,41)</f>
        <v>#VALUE!</v>
      </c>
      <c r="I155" s="113" t="n">
        <v>0</v>
      </c>
      <c r="J155" s="114" t="e">
        <f aca="false">VLOOKUP($B155,Curve_Fetch,3)</f>
        <v>#VALUE!</v>
      </c>
      <c r="K155" s="121" t="n">
        <f aca="false">K154</f>
        <v>0</v>
      </c>
      <c r="L155" s="116" t="e">
        <f aca="false">IF(Control!$Y$26=Control!$X$27,J155,I155)+K155</f>
        <v>#VALUE!</v>
      </c>
      <c r="M155" s="113" t="n">
        <v>0</v>
      </c>
      <c r="N155" s="114" t="e">
        <f aca="false">VLOOKUP($B155,Curve_Fetch,VLOOKUP(Control!$AJ$10,Control!$AI$11:$AK$22,3))</f>
        <v>#VALUE!</v>
      </c>
      <c r="O155" s="121" t="n">
        <f aca="false">O154</f>
        <v>0</v>
      </c>
      <c r="P155" s="116" t="e">
        <f aca="false">IF(Control!$Y$31=Control!$X$32,N155,M155)+O155</f>
        <v>#VALUE!</v>
      </c>
      <c r="Q155" s="113" t="n">
        <v>0</v>
      </c>
      <c r="R155" s="114" t="e">
        <f aca="false">VLOOKUP($B155,Curve_Fetch,(VLOOKUP(Control!$AJ$10,Control!$AI$11:$AL$22,4)))</f>
        <v>#VALUE!</v>
      </c>
      <c r="S155" s="121" t="n">
        <f aca="false">S154</f>
        <v>0</v>
      </c>
      <c r="T155" s="116" t="e">
        <f aca="false">IF($C$11="Physical",IF(Control!$Y$37=Control!$X$38,R155,Q155)+S155,0)</f>
        <v>#VALUE!</v>
      </c>
      <c r="U155" s="117" t="e">
        <f aca="false">IF($C$11="Financial",L155+P155,L155+P155+T155)</f>
        <v>#VALUE!</v>
      </c>
      <c r="V155" s="114"/>
      <c r="W155" s="118" t="e">
        <f aca="false">VLOOKUP($B155,Model!$A$8:$S$289,19)</f>
        <v>#VALUE!</v>
      </c>
      <c r="X155" s="120" t="n">
        <f aca="false">X154</f>
        <v>0</v>
      </c>
      <c r="Y155" s="120" t="e">
        <f aca="false">W155+X155</f>
        <v>#VALUE!</v>
      </c>
      <c r="Z155" s="121" t="n">
        <f aca="false">Z154</f>
        <v>0</v>
      </c>
      <c r="AA155" s="121" t="e">
        <f aca="false">U155+Z155</f>
        <v>#VALUE!</v>
      </c>
      <c r="AB155" s="128" t="e">
        <f aca="false">EURO(U155,AA155,VLOOKUP($B155,Curve_Fetch,2),VLOOKUP($B155,Curve_Fetch,2),Y155,VLOOKUP($B155,Model!$A$8:$R$289,18),IF(Euro!$C$10="Call",1,0),0)</f>
        <v>#VALUE!</v>
      </c>
      <c r="AD155" s="123" t="e">
        <f aca="false">$G155*L155</f>
        <v>#VALUE!</v>
      </c>
      <c r="AE155" s="124" t="e">
        <f aca="false">$G155*P155</f>
        <v>#VALUE!</v>
      </c>
      <c r="AF155" s="124" t="e">
        <f aca="false">$G155*T155</f>
        <v>#VALUE!</v>
      </c>
      <c r="AG155" s="124" t="e">
        <f aca="false">$G155*U155</f>
        <v>#VALUE!</v>
      </c>
      <c r="AH155" s="124" t="e">
        <f aca="false">$G155*AA155</f>
        <v>#VALUE!</v>
      </c>
      <c r="AI155" s="125" t="e">
        <f aca="false">$F155*AB155</f>
        <v>#VALUE!</v>
      </c>
      <c r="AK155" s="0"/>
      <c r="AL155" s="0"/>
      <c r="AM155" s="0"/>
      <c r="AN155" s="0"/>
      <c r="AO155" s="0"/>
      <c r="AP155" s="0"/>
      <c r="AQ155" s="0"/>
      <c r="AR155" s="0"/>
    </row>
    <row r="156" customFormat="false" ht="12.75" hidden="false" customHeight="false" outlineLevel="0" collapsed="false">
      <c r="B156" s="108" t="e">
        <f aca="false">([1]!edate,B155,1)</f>
        <v>#VALUE!</v>
      </c>
      <c r="C156" s="109" t="e">
        <f aca="false">IF($C$11="Physical",B157+24,B157)</f>
        <v>#VALUE!</v>
      </c>
      <c r="D156" s="110" t="n">
        <v>0</v>
      </c>
      <c r="E156" s="111" t="e">
        <f aca="false">VLOOKUP($B156,Model!$A$8:$E$289,5)</f>
        <v>#VALUE!</v>
      </c>
      <c r="F156" s="111" t="e">
        <f aca="false">VLOOKUP($B156,Model!$A$8:$F$289,6)</f>
        <v>#VALUE!</v>
      </c>
      <c r="G156" s="127" t="e">
        <f aca="false">VLOOKUP($B156,Model!$A$8:$AO$289,41)</f>
        <v>#VALUE!</v>
      </c>
      <c r="I156" s="113" t="n">
        <v>0</v>
      </c>
      <c r="J156" s="114" t="e">
        <f aca="false">VLOOKUP($B156,Curve_Fetch,3)</f>
        <v>#VALUE!</v>
      </c>
      <c r="K156" s="121" t="n">
        <f aca="false">K155</f>
        <v>0</v>
      </c>
      <c r="L156" s="116" t="e">
        <f aca="false">IF(Control!$Y$26=Control!$X$27,J156,I156)+K156</f>
        <v>#VALUE!</v>
      </c>
      <c r="M156" s="113" t="n">
        <v>0</v>
      </c>
      <c r="N156" s="114" t="e">
        <f aca="false">VLOOKUP($B156,Curve_Fetch,VLOOKUP(Control!$AJ$10,Control!$AI$11:$AK$22,3))</f>
        <v>#VALUE!</v>
      </c>
      <c r="O156" s="121" t="n">
        <f aca="false">O155</f>
        <v>0</v>
      </c>
      <c r="P156" s="116" t="e">
        <f aca="false">IF(Control!$Y$31=Control!$X$32,N156,M156)+O156</f>
        <v>#VALUE!</v>
      </c>
      <c r="Q156" s="113" t="n">
        <v>0</v>
      </c>
      <c r="R156" s="114" t="e">
        <f aca="false">VLOOKUP($B156,Curve_Fetch,(VLOOKUP(Control!$AJ$10,Control!$AI$11:$AL$22,4)))</f>
        <v>#VALUE!</v>
      </c>
      <c r="S156" s="121" t="n">
        <f aca="false">S155</f>
        <v>0</v>
      </c>
      <c r="T156" s="116" t="e">
        <f aca="false">IF($C$11="Physical",IF(Control!$Y$37=Control!$X$38,R156,Q156)+S156,0)</f>
        <v>#VALUE!</v>
      </c>
      <c r="U156" s="117" t="e">
        <f aca="false">IF($C$11="Financial",L156+P156,L156+P156+T156)</f>
        <v>#VALUE!</v>
      </c>
      <c r="V156" s="114"/>
      <c r="W156" s="118" t="e">
        <f aca="false">VLOOKUP($B156,Model!$A$8:$S$289,19)</f>
        <v>#VALUE!</v>
      </c>
      <c r="X156" s="120" t="n">
        <f aca="false">X155</f>
        <v>0</v>
      </c>
      <c r="Y156" s="120" t="e">
        <f aca="false">W156+X156</f>
        <v>#VALUE!</v>
      </c>
      <c r="Z156" s="121" t="n">
        <f aca="false">Z155</f>
        <v>0</v>
      </c>
      <c r="AA156" s="121" t="e">
        <f aca="false">U156+Z156</f>
        <v>#VALUE!</v>
      </c>
      <c r="AB156" s="128" t="e">
        <f aca="false">EURO(U156,AA156,VLOOKUP($B156,Curve_Fetch,2),VLOOKUP($B156,Curve_Fetch,2),Y156,VLOOKUP($B156,Model!$A$8:$R$289,18),IF(Euro!$C$10="Call",1,0),0)</f>
        <v>#VALUE!</v>
      </c>
      <c r="AD156" s="123" t="e">
        <f aca="false">$G156*L156</f>
        <v>#VALUE!</v>
      </c>
      <c r="AE156" s="124" t="e">
        <f aca="false">$G156*P156</f>
        <v>#VALUE!</v>
      </c>
      <c r="AF156" s="124" t="e">
        <f aca="false">$G156*T156</f>
        <v>#VALUE!</v>
      </c>
      <c r="AG156" s="124" t="e">
        <f aca="false">$G156*U156</f>
        <v>#VALUE!</v>
      </c>
      <c r="AH156" s="124" t="e">
        <f aca="false">$G156*AA156</f>
        <v>#VALUE!</v>
      </c>
      <c r="AI156" s="125" t="e">
        <f aca="false">$F156*AB156</f>
        <v>#VALUE!</v>
      </c>
      <c r="AK156" s="0"/>
      <c r="AL156" s="0"/>
      <c r="AM156" s="0"/>
      <c r="AN156" s="0"/>
      <c r="AO156" s="0"/>
      <c r="AP156" s="0"/>
      <c r="AQ156" s="0"/>
      <c r="AR156" s="0"/>
    </row>
    <row r="157" customFormat="false" ht="12.75" hidden="false" customHeight="false" outlineLevel="0" collapsed="false">
      <c r="B157" s="108" t="e">
        <f aca="false">([1]!edate,B156,1)</f>
        <v>#VALUE!</v>
      </c>
      <c r="C157" s="109" t="e">
        <f aca="false">IF($C$11="Physical",B158+24,B158)</f>
        <v>#VALUE!</v>
      </c>
      <c r="D157" s="110" t="n">
        <v>0</v>
      </c>
      <c r="E157" s="111" t="e">
        <f aca="false">VLOOKUP($B157,Model!$A$8:$E$289,5)</f>
        <v>#VALUE!</v>
      </c>
      <c r="F157" s="111" t="e">
        <f aca="false">VLOOKUP($B157,Model!$A$8:$F$289,6)</f>
        <v>#VALUE!</v>
      </c>
      <c r="G157" s="127" t="e">
        <f aca="false">VLOOKUP($B157,Model!$A$8:$AO$289,41)</f>
        <v>#VALUE!</v>
      </c>
      <c r="I157" s="113" t="n">
        <v>0</v>
      </c>
      <c r="J157" s="114" t="e">
        <f aca="false">VLOOKUP($B157,Curve_Fetch,3)</f>
        <v>#VALUE!</v>
      </c>
      <c r="K157" s="121" t="n">
        <f aca="false">K156</f>
        <v>0</v>
      </c>
      <c r="L157" s="116" t="e">
        <f aca="false">IF(Control!$Y$26=Control!$X$27,J157,I157)+K157</f>
        <v>#VALUE!</v>
      </c>
      <c r="M157" s="113" t="n">
        <v>0</v>
      </c>
      <c r="N157" s="114" t="e">
        <f aca="false">VLOOKUP($B157,Curve_Fetch,VLOOKUP(Control!$AJ$10,Control!$AI$11:$AK$22,3))</f>
        <v>#VALUE!</v>
      </c>
      <c r="O157" s="121" t="n">
        <f aca="false">O156</f>
        <v>0</v>
      </c>
      <c r="P157" s="116" t="e">
        <f aca="false">IF(Control!$Y$31=Control!$X$32,N157,M157)+O157</f>
        <v>#VALUE!</v>
      </c>
      <c r="Q157" s="113" t="n">
        <v>0</v>
      </c>
      <c r="R157" s="114" t="e">
        <f aca="false">VLOOKUP($B157,Curve_Fetch,(VLOOKUP(Control!$AJ$10,Control!$AI$11:$AL$22,4)))</f>
        <v>#VALUE!</v>
      </c>
      <c r="S157" s="121" t="n">
        <f aca="false">S156</f>
        <v>0</v>
      </c>
      <c r="T157" s="116" t="e">
        <f aca="false">IF($C$11="Physical",IF(Control!$Y$37=Control!$X$38,R157,Q157)+S157,0)</f>
        <v>#VALUE!</v>
      </c>
      <c r="U157" s="117" t="e">
        <f aca="false">IF($C$11="Financial",L157+P157,L157+P157+T157)</f>
        <v>#VALUE!</v>
      </c>
      <c r="V157" s="114"/>
      <c r="W157" s="118" t="e">
        <f aca="false">VLOOKUP($B157,Model!$A$8:$S$289,19)</f>
        <v>#VALUE!</v>
      </c>
      <c r="X157" s="120" t="n">
        <f aca="false">X156</f>
        <v>0</v>
      </c>
      <c r="Y157" s="120" t="e">
        <f aca="false">W157+X157</f>
        <v>#VALUE!</v>
      </c>
      <c r="Z157" s="121" t="n">
        <f aca="false">Z156</f>
        <v>0</v>
      </c>
      <c r="AA157" s="121" t="e">
        <f aca="false">U157+Z157</f>
        <v>#VALUE!</v>
      </c>
      <c r="AB157" s="128" t="e">
        <f aca="false">EURO(U157,AA157,VLOOKUP($B157,Curve_Fetch,2),VLOOKUP($B157,Curve_Fetch,2),Y157,VLOOKUP($B157,Model!$A$8:$R$289,18),IF(Euro!$C$10="Call",1,0),0)</f>
        <v>#VALUE!</v>
      </c>
      <c r="AD157" s="123" t="e">
        <f aca="false">$G157*L157</f>
        <v>#VALUE!</v>
      </c>
      <c r="AE157" s="124" t="e">
        <f aca="false">$G157*P157</f>
        <v>#VALUE!</v>
      </c>
      <c r="AF157" s="124" t="e">
        <f aca="false">$G157*T157</f>
        <v>#VALUE!</v>
      </c>
      <c r="AG157" s="124" t="e">
        <f aca="false">$G157*U157</f>
        <v>#VALUE!</v>
      </c>
      <c r="AH157" s="124" t="e">
        <f aca="false">$G157*AA157</f>
        <v>#VALUE!</v>
      </c>
      <c r="AI157" s="125" t="e">
        <f aca="false">$F157*AB157</f>
        <v>#VALUE!</v>
      </c>
      <c r="AK157" s="0"/>
      <c r="AL157" s="0"/>
      <c r="AM157" s="0"/>
      <c r="AN157" s="0"/>
      <c r="AO157" s="0"/>
      <c r="AP157" s="0"/>
      <c r="AQ157" s="0"/>
      <c r="AR157" s="0"/>
    </row>
    <row r="158" customFormat="false" ht="12.75" hidden="false" customHeight="false" outlineLevel="0" collapsed="false">
      <c r="B158" s="108" t="e">
        <f aca="false">([1]!edate,B157,1)</f>
        <v>#VALUE!</v>
      </c>
      <c r="C158" s="109" t="e">
        <f aca="false">IF($C$11="Physical",B159+24,B159)</f>
        <v>#VALUE!</v>
      </c>
      <c r="D158" s="110" t="n">
        <v>0</v>
      </c>
      <c r="E158" s="111" t="e">
        <f aca="false">VLOOKUP($B158,Model!$A$8:$E$289,5)</f>
        <v>#VALUE!</v>
      </c>
      <c r="F158" s="111" t="e">
        <f aca="false">VLOOKUP($B158,Model!$A$8:$F$289,6)</f>
        <v>#VALUE!</v>
      </c>
      <c r="G158" s="127" t="e">
        <f aca="false">VLOOKUP($B158,Model!$A$8:$AO$289,41)</f>
        <v>#VALUE!</v>
      </c>
      <c r="I158" s="113" t="n">
        <v>0</v>
      </c>
      <c r="J158" s="114" t="e">
        <f aca="false">VLOOKUP($B158,Curve_Fetch,3)</f>
        <v>#VALUE!</v>
      </c>
      <c r="K158" s="121" t="n">
        <f aca="false">K157</f>
        <v>0</v>
      </c>
      <c r="L158" s="116" t="e">
        <f aca="false">IF(Control!$Y$26=Control!$X$27,J158,I158)+K158</f>
        <v>#VALUE!</v>
      </c>
      <c r="M158" s="113" t="n">
        <v>0</v>
      </c>
      <c r="N158" s="114" t="e">
        <f aca="false">VLOOKUP($B158,Curve_Fetch,VLOOKUP(Control!$AJ$10,Control!$AI$11:$AK$22,3))</f>
        <v>#VALUE!</v>
      </c>
      <c r="O158" s="121" t="n">
        <f aca="false">O157</f>
        <v>0</v>
      </c>
      <c r="P158" s="116" t="e">
        <f aca="false">IF(Control!$Y$31=Control!$X$32,N158,M158)+O158</f>
        <v>#VALUE!</v>
      </c>
      <c r="Q158" s="113" t="n">
        <v>0</v>
      </c>
      <c r="R158" s="114" t="e">
        <f aca="false">VLOOKUP($B158,Curve_Fetch,(VLOOKUP(Control!$AJ$10,Control!$AI$11:$AL$22,4)))</f>
        <v>#VALUE!</v>
      </c>
      <c r="S158" s="121" t="n">
        <f aca="false">S157</f>
        <v>0</v>
      </c>
      <c r="T158" s="116" t="e">
        <f aca="false">IF($C$11="Physical",IF(Control!$Y$37=Control!$X$38,R158,Q158)+S158,0)</f>
        <v>#VALUE!</v>
      </c>
      <c r="U158" s="117" t="e">
        <f aca="false">IF($C$11="Financial",L158+P158,L158+P158+T158)</f>
        <v>#VALUE!</v>
      </c>
      <c r="V158" s="114"/>
      <c r="W158" s="118" t="e">
        <f aca="false">VLOOKUP($B158,Model!$A$8:$S$289,19)</f>
        <v>#VALUE!</v>
      </c>
      <c r="X158" s="120" t="n">
        <f aca="false">X157</f>
        <v>0</v>
      </c>
      <c r="Y158" s="120" t="e">
        <f aca="false">W158+X158</f>
        <v>#VALUE!</v>
      </c>
      <c r="Z158" s="121" t="n">
        <f aca="false">Z157</f>
        <v>0</v>
      </c>
      <c r="AA158" s="121" t="e">
        <f aca="false">U158+Z158</f>
        <v>#VALUE!</v>
      </c>
      <c r="AB158" s="128" t="e">
        <f aca="false">EURO(U158,AA158,VLOOKUP($B158,Curve_Fetch,2),VLOOKUP($B158,Curve_Fetch,2),Y158,VLOOKUP($B158,Model!$A$8:$R$289,18),IF(Euro!$C$10="Call",1,0),0)</f>
        <v>#VALUE!</v>
      </c>
      <c r="AD158" s="123" t="e">
        <f aca="false">$G158*L158</f>
        <v>#VALUE!</v>
      </c>
      <c r="AE158" s="124" t="e">
        <f aca="false">$G158*P158</f>
        <v>#VALUE!</v>
      </c>
      <c r="AF158" s="124" t="e">
        <f aca="false">$G158*T158</f>
        <v>#VALUE!</v>
      </c>
      <c r="AG158" s="124" t="e">
        <f aca="false">$G158*U158</f>
        <v>#VALUE!</v>
      </c>
      <c r="AH158" s="124" t="e">
        <f aca="false">$G158*AA158</f>
        <v>#VALUE!</v>
      </c>
      <c r="AI158" s="125" t="e">
        <f aca="false">$F158*AB158</f>
        <v>#VALUE!</v>
      </c>
      <c r="AK158" s="0"/>
      <c r="AL158" s="0"/>
      <c r="AM158" s="0"/>
      <c r="AN158" s="0"/>
      <c r="AO158" s="0"/>
      <c r="AP158" s="0"/>
      <c r="AQ158" s="0"/>
      <c r="AR158" s="0"/>
    </row>
    <row r="159" customFormat="false" ht="12.75" hidden="false" customHeight="false" outlineLevel="0" collapsed="false">
      <c r="B159" s="108" t="e">
        <f aca="false">([1]!edate,B158,1)</f>
        <v>#VALUE!</v>
      </c>
      <c r="C159" s="109" t="e">
        <f aca="false">IF($C$11="Physical",B160+24,B160)</f>
        <v>#VALUE!</v>
      </c>
      <c r="D159" s="110" t="n">
        <v>0</v>
      </c>
      <c r="E159" s="111" t="e">
        <f aca="false">VLOOKUP($B159,Model!$A$8:$E$289,5)</f>
        <v>#VALUE!</v>
      </c>
      <c r="F159" s="111" t="e">
        <f aca="false">VLOOKUP($B159,Model!$A$8:$F$289,6)</f>
        <v>#VALUE!</v>
      </c>
      <c r="G159" s="127" t="e">
        <f aca="false">VLOOKUP($B159,Model!$A$8:$AO$289,41)</f>
        <v>#VALUE!</v>
      </c>
      <c r="I159" s="113" t="n">
        <v>0</v>
      </c>
      <c r="J159" s="114" t="e">
        <f aca="false">VLOOKUP($B159,Curve_Fetch,3)</f>
        <v>#VALUE!</v>
      </c>
      <c r="K159" s="121" t="n">
        <f aca="false">K158</f>
        <v>0</v>
      </c>
      <c r="L159" s="116" t="e">
        <f aca="false">IF(Control!$Y$26=Control!$X$27,J159,I159)+K159</f>
        <v>#VALUE!</v>
      </c>
      <c r="M159" s="113" t="n">
        <v>0</v>
      </c>
      <c r="N159" s="114" t="e">
        <f aca="false">VLOOKUP($B159,Curve_Fetch,VLOOKUP(Control!$AJ$10,Control!$AI$11:$AK$22,3))</f>
        <v>#VALUE!</v>
      </c>
      <c r="O159" s="121" t="n">
        <f aca="false">O158</f>
        <v>0</v>
      </c>
      <c r="P159" s="116" t="e">
        <f aca="false">IF(Control!$Y$31=Control!$X$32,N159,M159)+O159</f>
        <v>#VALUE!</v>
      </c>
      <c r="Q159" s="113" t="n">
        <v>0</v>
      </c>
      <c r="R159" s="114" t="e">
        <f aca="false">VLOOKUP($B159,Curve_Fetch,(VLOOKUP(Control!$AJ$10,Control!$AI$11:$AL$22,4)))</f>
        <v>#VALUE!</v>
      </c>
      <c r="S159" s="121" t="n">
        <f aca="false">S158</f>
        <v>0</v>
      </c>
      <c r="T159" s="116" t="e">
        <f aca="false">IF($C$11="Physical",IF(Control!$Y$37=Control!$X$38,R159,Q159)+S159,0)</f>
        <v>#VALUE!</v>
      </c>
      <c r="U159" s="117" t="e">
        <f aca="false">IF($C$11="Financial",L159+P159,L159+P159+T159)</f>
        <v>#VALUE!</v>
      </c>
      <c r="V159" s="114"/>
      <c r="W159" s="118" t="e">
        <f aca="false">VLOOKUP($B159,Model!$A$8:$S$289,19)</f>
        <v>#VALUE!</v>
      </c>
      <c r="X159" s="120" t="n">
        <f aca="false">X158</f>
        <v>0</v>
      </c>
      <c r="Y159" s="120" t="e">
        <f aca="false">W159+X159</f>
        <v>#VALUE!</v>
      </c>
      <c r="Z159" s="121" t="n">
        <f aca="false">Z158</f>
        <v>0</v>
      </c>
      <c r="AA159" s="121" t="e">
        <f aca="false">U159+Z159</f>
        <v>#VALUE!</v>
      </c>
      <c r="AB159" s="128" t="e">
        <f aca="false">EURO(U159,AA159,VLOOKUP($B159,Curve_Fetch,2),VLOOKUP($B159,Curve_Fetch,2),Y159,VLOOKUP($B159,Model!$A$8:$R$289,18),IF(Euro!$C$10="Call",1,0),0)</f>
        <v>#VALUE!</v>
      </c>
      <c r="AD159" s="123" t="e">
        <f aca="false">$G159*L159</f>
        <v>#VALUE!</v>
      </c>
      <c r="AE159" s="124" t="e">
        <f aca="false">$G159*P159</f>
        <v>#VALUE!</v>
      </c>
      <c r="AF159" s="124" t="e">
        <f aca="false">$G159*T159</f>
        <v>#VALUE!</v>
      </c>
      <c r="AG159" s="124" t="e">
        <f aca="false">$G159*U159</f>
        <v>#VALUE!</v>
      </c>
      <c r="AH159" s="124" t="e">
        <f aca="false">$G159*AA159</f>
        <v>#VALUE!</v>
      </c>
      <c r="AI159" s="125" t="e">
        <f aca="false">$F159*AB159</f>
        <v>#VALUE!</v>
      </c>
      <c r="AK159" s="0"/>
      <c r="AL159" s="0"/>
      <c r="AM159" s="0"/>
      <c r="AN159" s="0"/>
      <c r="AO159" s="0"/>
      <c r="AP159" s="0"/>
      <c r="AQ159" s="0"/>
      <c r="AR159" s="0"/>
    </row>
    <row r="160" customFormat="false" ht="12.75" hidden="false" customHeight="false" outlineLevel="0" collapsed="false">
      <c r="B160" s="108" t="e">
        <f aca="false">([1]!edate,B159,1)</f>
        <v>#VALUE!</v>
      </c>
      <c r="C160" s="109" t="e">
        <f aca="false">IF($C$11="Physical",B161+24,B161)</f>
        <v>#VALUE!</v>
      </c>
      <c r="D160" s="110" t="n">
        <v>0</v>
      </c>
      <c r="E160" s="111" t="e">
        <f aca="false">VLOOKUP($B160,Model!$A$8:$E$289,5)</f>
        <v>#VALUE!</v>
      </c>
      <c r="F160" s="111" t="e">
        <f aca="false">VLOOKUP($B160,Model!$A$8:$F$289,6)</f>
        <v>#VALUE!</v>
      </c>
      <c r="G160" s="127" t="e">
        <f aca="false">VLOOKUP($B160,Model!$A$8:$AO$289,41)</f>
        <v>#VALUE!</v>
      </c>
      <c r="I160" s="113" t="n">
        <v>0</v>
      </c>
      <c r="J160" s="114" t="e">
        <f aca="false">VLOOKUP($B160,Curve_Fetch,3)</f>
        <v>#VALUE!</v>
      </c>
      <c r="K160" s="121" t="n">
        <f aca="false">K159</f>
        <v>0</v>
      </c>
      <c r="L160" s="116" t="e">
        <f aca="false">IF(Control!$Y$26=Control!$X$27,J160,I160)+K160</f>
        <v>#VALUE!</v>
      </c>
      <c r="M160" s="113" t="n">
        <v>0</v>
      </c>
      <c r="N160" s="114" t="e">
        <f aca="false">VLOOKUP($B160,Curve_Fetch,VLOOKUP(Control!$AJ$10,Control!$AI$11:$AK$22,3))</f>
        <v>#VALUE!</v>
      </c>
      <c r="O160" s="121" t="n">
        <f aca="false">O159</f>
        <v>0</v>
      </c>
      <c r="P160" s="116" t="e">
        <f aca="false">IF(Control!$Y$31=Control!$X$32,N160,M160)+O160</f>
        <v>#VALUE!</v>
      </c>
      <c r="Q160" s="113" t="n">
        <v>0</v>
      </c>
      <c r="R160" s="114" t="e">
        <f aca="false">VLOOKUP($B160,Curve_Fetch,(VLOOKUP(Control!$AJ$10,Control!$AI$11:$AL$22,4)))</f>
        <v>#VALUE!</v>
      </c>
      <c r="S160" s="121" t="n">
        <f aca="false">S159</f>
        <v>0</v>
      </c>
      <c r="T160" s="116" t="e">
        <f aca="false">IF($C$11="Physical",IF(Control!$Y$37=Control!$X$38,R160,Q160)+S160,0)</f>
        <v>#VALUE!</v>
      </c>
      <c r="U160" s="117" t="e">
        <f aca="false">IF($C$11="Financial",L160+P160,L160+P160+T160)</f>
        <v>#VALUE!</v>
      </c>
      <c r="V160" s="114"/>
      <c r="W160" s="118" t="e">
        <f aca="false">VLOOKUP($B160,Model!$A$8:$S$289,19)</f>
        <v>#VALUE!</v>
      </c>
      <c r="X160" s="120" t="n">
        <f aca="false">X159</f>
        <v>0</v>
      </c>
      <c r="Y160" s="120" t="e">
        <f aca="false">W160+X160</f>
        <v>#VALUE!</v>
      </c>
      <c r="Z160" s="121" t="n">
        <f aca="false">Z159</f>
        <v>0</v>
      </c>
      <c r="AA160" s="121" t="e">
        <f aca="false">U160+Z160</f>
        <v>#VALUE!</v>
      </c>
      <c r="AB160" s="128" t="e">
        <f aca="false">EURO(U160,AA160,VLOOKUP($B160,Curve_Fetch,2),VLOOKUP($B160,Curve_Fetch,2),Y160,VLOOKUP($B160,Model!$A$8:$R$289,18),IF(Euro!$C$10="Call",1,0),0)</f>
        <v>#VALUE!</v>
      </c>
      <c r="AD160" s="123" t="e">
        <f aca="false">$G160*L160</f>
        <v>#VALUE!</v>
      </c>
      <c r="AE160" s="124" t="e">
        <f aca="false">$G160*P160</f>
        <v>#VALUE!</v>
      </c>
      <c r="AF160" s="124" t="e">
        <f aca="false">$G160*T160</f>
        <v>#VALUE!</v>
      </c>
      <c r="AG160" s="124" t="e">
        <f aca="false">$G160*U160</f>
        <v>#VALUE!</v>
      </c>
      <c r="AH160" s="124" t="e">
        <f aca="false">$G160*AA160</f>
        <v>#VALUE!</v>
      </c>
      <c r="AI160" s="125" t="e">
        <f aca="false">$F160*AB160</f>
        <v>#VALUE!</v>
      </c>
      <c r="AK160" s="0"/>
      <c r="AL160" s="0"/>
      <c r="AM160" s="0"/>
      <c r="AN160" s="0"/>
      <c r="AO160" s="0"/>
      <c r="AP160" s="0"/>
      <c r="AQ160" s="0"/>
      <c r="AR160" s="0"/>
    </row>
    <row r="161" customFormat="false" ht="12.75" hidden="false" customHeight="false" outlineLevel="0" collapsed="false">
      <c r="B161" s="108" t="e">
        <f aca="false">([1]!edate,B160,1)</f>
        <v>#VALUE!</v>
      </c>
      <c r="C161" s="109" t="e">
        <f aca="false">IF($C$11="Physical",B162+24,B162)</f>
        <v>#VALUE!</v>
      </c>
      <c r="D161" s="110" t="n">
        <v>0</v>
      </c>
      <c r="E161" s="111" t="e">
        <f aca="false">VLOOKUP($B161,Model!$A$8:$E$289,5)</f>
        <v>#VALUE!</v>
      </c>
      <c r="F161" s="111" t="e">
        <f aca="false">VLOOKUP($B161,Model!$A$8:$F$289,6)</f>
        <v>#VALUE!</v>
      </c>
      <c r="G161" s="127" t="e">
        <f aca="false">VLOOKUP($B161,Model!$A$8:$AO$289,41)</f>
        <v>#VALUE!</v>
      </c>
      <c r="I161" s="113" t="n">
        <v>0</v>
      </c>
      <c r="J161" s="114" t="e">
        <f aca="false">VLOOKUP($B161,Curve_Fetch,3)</f>
        <v>#VALUE!</v>
      </c>
      <c r="K161" s="121" t="n">
        <f aca="false">K160</f>
        <v>0</v>
      </c>
      <c r="L161" s="116" t="e">
        <f aca="false">IF(Control!$Y$26=Control!$X$27,J161,I161)+K161</f>
        <v>#VALUE!</v>
      </c>
      <c r="M161" s="113" t="n">
        <v>0</v>
      </c>
      <c r="N161" s="114" t="e">
        <f aca="false">VLOOKUP($B161,Curve_Fetch,VLOOKUP(Control!$AJ$10,Control!$AI$11:$AK$22,3))</f>
        <v>#VALUE!</v>
      </c>
      <c r="O161" s="121" t="n">
        <f aca="false">O160</f>
        <v>0</v>
      </c>
      <c r="P161" s="116" t="e">
        <f aca="false">IF(Control!$Y$31=Control!$X$32,N161,M161)+O161</f>
        <v>#VALUE!</v>
      </c>
      <c r="Q161" s="113" t="n">
        <v>0</v>
      </c>
      <c r="R161" s="114" t="e">
        <f aca="false">VLOOKUP($B161,Curve_Fetch,(VLOOKUP(Control!$AJ$10,Control!$AI$11:$AL$22,4)))</f>
        <v>#VALUE!</v>
      </c>
      <c r="S161" s="121" t="n">
        <f aca="false">S160</f>
        <v>0</v>
      </c>
      <c r="T161" s="116" t="e">
        <f aca="false">IF($C$11="Physical",IF(Control!$Y$37=Control!$X$38,R161,Q161)+S161,0)</f>
        <v>#VALUE!</v>
      </c>
      <c r="U161" s="117" t="e">
        <f aca="false">IF($C$11="Financial",L161+P161,L161+P161+T161)</f>
        <v>#VALUE!</v>
      </c>
      <c r="V161" s="114"/>
      <c r="W161" s="118" t="e">
        <f aca="false">VLOOKUP($B161,Model!$A$8:$S$289,19)</f>
        <v>#VALUE!</v>
      </c>
      <c r="X161" s="120" t="n">
        <f aca="false">X160</f>
        <v>0</v>
      </c>
      <c r="Y161" s="120" t="e">
        <f aca="false">W161+X161</f>
        <v>#VALUE!</v>
      </c>
      <c r="Z161" s="121" t="n">
        <f aca="false">Z160</f>
        <v>0</v>
      </c>
      <c r="AA161" s="121" t="e">
        <f aca="false">U161+Z161</f>
        <v>#VALUE!</v>
      </c>
      <c r="AB161" s="128" t="e">
        <f aca="false">EURO(U161,AA161,VLOOKUP($B161,Curve_Fetch,2),VLOOKUP($B161,Curve_Fetch,2),Y161,VLOOKUP($B161,Model!$A$8:$R$289,18),IF(Euro!$C$10="Call",1,0),0)</f>
        <v>#VALUE!</v>
      </c>
      <c r="AD161" s="123" t="e">
        <f aca="false">$G161*L161</f>
        <v>#VALUE!</v>
      </c>
      <c r="AE161" s="124" t="e">
        <f aca="false">$G161*P161</f>
        <v>#VALUE!</v>
      </c>
      <c r="AF161" s="124" t="e">
        <f aca="false">$G161*T161</f>
        <v>#VALUE!</v>
      </c>
      <c r="AG161" s="124" t="e">
        <f aca="false">$G161*U161</f>
        <v>#VALUE!</v>
      </c>
      <c r="AH161" s="124" t="e">
        <f aca="false">$G161*AA161</f>
        <v>#VALUE!</v>
      </c>
      <c r="AI161" s="125" t="e">
        <f aca="false">$F161*AB161</f>
        <v>#VALUE!</v>
      </c>
      <c r="AK161" s="0"/>
      <c r="AL161" s="0"/>
      <c r="AM161" s="0"/>
      <c r="AN161" s="0"/>
      <c r="AO161" s="0"/>
      <c r="AP161" s="0"/>
      <c r="AQ161" s="0"/>
      <c r="AR161" s="0"/>
    </row>
    <row r="162" customFormat="false" ht="12.75" hidden="false" customHeight="false" outlineLevel="0" collapsed="false">
      <c r="B162" s="108" t="e">
        <f aca="false">([1]!edate,B161,1)</f>
        <v>#VALUE!</v>
      </c>
      <c r="C162" s="109" t="e">
        <f aca="false">IF($C$11="Physical",B163+24,B163)</f>
        <v>#VALUE!</v>
      </c>
      <c r="D162" s="110" t="n">
        <v>0</v>
      </c>
      <c r="E162" s="111" t="e">
        <f aca="false">VLOOKUP($B162,Model!$A$8:$E$289,5)</f>
        <v>#VALUE!</v>
      </c>
      <c r="F162" s="111" t="e">
        <f aca="false">VLOOKUP($B162,Model!$A$8:$F$289,6)</f>
        <v>#VALUE!</v>
      </c>
      <c r="G162" s="127" t="e">
        <f aca="false">VLOOKUP($B162,Model!$A$8:$AO$289,41)</f>
        <v>#VALUE!</v>
      </c>
      <c r="I162" s="113" t="n">
        <v>0</v>
      </c>
      <c r="J162" s="114" t="e">
        <f aca="false">VLOOKUP($B162,Curve_Fetch,3)</f>
        <v>#VALUE!</v>
      </c>
      <c r="K162" s="121" t="n">
        <f aca="false">K161</f>
        <v>0</v>
      </c>
      <c r="L162" s="116" t="e">
        <f aca="false">IF(Control!$Y$26=Control!$X$27,J162,I162)+K162</f>
        <v>#VALUE!</v>
      </c>
      <c r="M162" s="113" t="n">
        <v>0</v>
      </c>
      <c r="N162" s="114" t="e">
        <f aca="false">VLOOKUP($B162,Curve_Fetch,VLOOKUP(Control!$AJ$10,Control!$AI$11:$AK$22,3))</f>
        <v>#VALUE!</v>
      </c>
      <c r="O162" s="121" t="n">
        <f aca="false">O161</f>
        <v>0</v>
      </c>
      <c r="P162" s="116" t="e">
        <f aca="false">IF(Control!$Y$31=Control!$X$32,N162,M162)+O162</f>
        <v>#VALUE!</v>
      </c>
      <c r="Q162" s="113" t="n">
        <v>0</v>
      </c>
      <c r="R162" s="114" t="e">
        <f aca="false">VLOOKUP($B162,Curve_Fetch,(VLOOKUP(Control!$AJ$10,Control!$AI$11:$AL$22,4)))</f>
        <v>#VALUE!</v>
      </c>
      <c r="S162" s="121" t="n">
        <f aca="false">S161</f>
        <v>0</v>
      </c>
      <c r="T162" s="116" t="e">
        <f aca="false">IF($C$11="Physical",IF(Control!$Y$37=Control!$X$38,R162,Q162)+S162,0)</f>
        <v>#VALUE!</v>
      </c>
      <c r="U162" s="117" t="e">
        <f aca="false">IF($C$11="Financial",L162+P162,L162+P162+T162)</f>
        <v>#VALUE!</v>
      </c>
      <c r="V162" s="114"/>
      <c r="W162" s="118" t="e">
        <f aca="false">VLOOKUP($B162,Model!$A$8:$S$289,19)</f>
        <v>#VALUE!</v>
      </c>
      <c r="X162" s="120" t="n">
        <f aca="false">X161</f>
        <v>0</v>
      </c>
      <c r="Y162" s="120" t="e">
        <f aca="false">W162+X162</f>
        <v>#VALUE!</v>
      </c>
      <c r="Z162" s="121" t="n">
        <f aca="false">Z161</f>
        <v>0</v>
      </c>
      <c r="AA162" s="121" t="e">
        <f aca="false">U162+Z162</f>
        <v>#VALUE!</v>
      </c>
      <c r="AB162" s="128" t="e">
        <f aca="false">EURO(U162,AA162,VLOOKUP($B162,Curve_Fetch,2),VLOOKUP($B162,Curve_Fetch,2),Y162,VLOOKUP($B162,Model!$A$8:$R$289,18),IF(Euro!$C$10="Call",1,0),0)</f>
        <v>#VALUE!</v>
      </c>
      <c r="AD162" s="123" t="e">
        <f aca="false">$G162*L162</f>
        <v>#VALUE!</v>
      </c>
      <c r="AE162" s="124" t="e">
        <f aca="false">$G162*P162</f>
        <v>#VALUE!</v>
      </c>
      <c r="AF162" s="124" t="e">
        <f aca="false">$G162*T162</f>
        <v>#VALUE!</v>
      </c>
      <c r="AG162" s="124" t="e">
        <f aca="false">$G162*U162</f>
        <v>#VALUE!</v>
      </c>
      <c r="AH162" s="124" t="e">
        <f aca="false">$G162*AA162</f>
        <v>#VALUE!</v>
      </c>
      <c r="AI162" s="125" t="e">
        <f aca="false">$F162*AB162</f>
        <v>#VALUE!</v>
      </c>
      <c r="AK162" s="0"/>
      <c r="AL162" s="0"/>
      <c r="AM162" s="0"/>
      <c r="AN162" s="0"/>
      <c r="AO162" s="0"/>
      <c r="AP162" s="0"/>
      <c r="AQ162" s="0"/>
      <c r="AR162" s="0"/>
    </row>
    <row r="163" customFormat="false" ht="12.75" hidden="false" customHeight="false" outlineLevel="0" collapsed="false">
      <c r="B163" s="108" t="e">
        <f aca="false">([1]!edate,B162,1)</f>
        <v>#VALUE!</v>
      </c>
      <c r="C163" s="109" t="e">
        <f aca="false">IF($C$11="Physical",B164+24,B164)</f>
        <v>#VALUE!</v>
      </c>
      <c r="D163" s="110" t="n">
        <v>0</v>
      </c>
      <c r="E163" s="111" t="e">
        <f aca="false">VLOOKUP($B163,Model!$A$8:$E$289,5)</f>
        <v>#VALUE!</v>
      </c>
      <c r="F163" s="111" t="e">
        <f aca="false">VLOOKUP($B163,Model!$A$8:$F$289,6)</f>
        <v>#VALUE!</v>
      </c>
      <c r="G163" s="127" t="e">
        <f aca="false">VLOOKUP($B163,Model!$A$8:$AO$289,41)</f>
        <v>#VALUE!</v>
      </c>
      <c r="I163" s="113" t="n">
        <v>0</v>
      </c>
      <c r="J163" s="114" t="e">
        <f aca="false">VLOOKUP($B163,Curve_Fetch,3)</f>
        <v>#VALUE!</v>
      </c>
      <c r="K163" s="121" t="n">
        <f aca="false">K162</f>
        <v>0</v>
      </c>
      <c r="L163" s="116" t="e">
        <f aca="false">IF(Control!$Y$26=Control!$X$27,J163,I163)+K163</f>
        <v>#VALUE!</v>
      </c>
      <c r="M163" s="113" t="n">
        <v>0</v>
      </c>
      <c r="N163" s="114" t="e">
        <f aca="false">VLOOKUP($B163,Curve_Fetch,VLOOKUP(Control!$AJ$10,Control!$AI$11:$AK$22,3))</f>
        <v>#VALUE!</v>
      </c>
      <c r="O163" s="121" t="n">
        <f aca="false">O162</f>
        <v>0</v>
      </c>
      <c r="P163" s="116" t="e">
        <f aca="false">IF(Control!$Y$31=Control!$X$32,N163,M163)+O163</f>
        <v>#VALUE!</v>
      </c>
      <c r="Q163" s="113" t="n">
        <v>0</v>
      </c>
      <c r="R163" s="114" t="e">
        <f aca="false">VLOOKUP($B163,Curve_Fetch,(VLOOKUP(Control!$AJ$10,Control!$AI$11:$AL$22,4)))</f>
        <v>#VALUE!</v>
      </c>
      <c r="S163" s="121" t="n">
        <f aca="false">S162</f>
        <v>0</v>
      </c>
      <c r="T163" s="116" t="e">
        <f aca="false">IF($C$11="Physical",IF(Control!$Y$37=Control!$X$38,R163,Q163)+S163,0)</f>
        <v>#VALUE!</v>
      </c>
      <c r="U163" s="117" t="e">
        <f aca="false">IF($C$11="Financial",L163+P163,L163+P163+T163)</f>
        <v>#VALUE!</v>
      </c>
      <c r="V163" s="114"/>
      <c r="W163" s="118" t="e">
        <f aca="false">VLOOKUP($B163,Model!$A$8:$S$289,19)</f>
        <v>#VALUE!</v>
      </c>
      <c r="X163" s="120" t="n">
        <f aca="false">X162</f>
        <v>0</v>
      </c>
      <c r="Y163" s="120" t="e">
        <f aca="false">W163+X163</f>
        <v>#VALUE!</v>
      </c>
      <c r="Z163" s="121" t="n">
        <f aca="false">Z162</f>
        <v>0</v>
      </c>
      <c r="AA163" s="121" t="e">
        <f aca="false">U163+Z163</f>
        <v>#VALUE!</v>
      </c>
      <c r="AB163" s="128" t="e">
        <f aca="false">EURO(U163,AA163,VLOOKUP($B163,Curve_Fetch,2),VLOOKUP($B163,Curve_Fetch,2),Y163,VLOOKUP($B163,Model!$A$8:$R$289,18),IF(Euro!$C$10="Call",1,0),0)</f>
        <v>#VALUE!</v>
      </c>
      <c r="AD163" s="123" t="e">
        <f aca="false">$G163*L163</f>
        <v>#VALUE!</v>
      </c>
      <c r="AE163" s="124" t="e">
        <f aca="false">$G163*P163</f>
        <v>#VALUE!</v>
      </c>
      <c r="AF163" s="124" t="e">
        <f aca="false">$G163*T163</f>
        <v>#VALUE!</v>
      </c>
      <c r="AG163" s="124" t="e">
        <f aca="false">$G163*U163</f>
        <v>#VALUE!</v>
      </c>
      <c r="AH163" s="124" t="e">
        <f aca="false">$G163*AA163</f>
        <v>#VALUE!</v>
      </c>
      <c r="AI163" s="125" t="e">
        <f aca="false">$F163*AB163</f>
        <v>#VALUE!</v>
      </c>
      <c r="AK163" s="0"/>
      <c r="AL163" s="0"/>
      <c r="AM163" s="0"/>
      <c r="AN163" s="0"/>
      <c r="AO163" s="0"/>
      <c r="AP163" s="0"/>
      <c r="AQ163" s="0"/>
      <c r="AR163" s="0"/>
    </row>
    <row r="164" customFormat="false" ht="12.75" hidden="false" customHeight="false" outlineLevel="0" collapsed="false">
      <c r="B164" s="108" t="e">
        <f aca="false">([1]!edate,B163,1)</f>
        <v>#VALUE!</v>
      </c>
      <c r="C164" s="109" t="e">
        <f aca="false">IF($C$11="Physical",B165+24,B165)</f>
        <v>#VALUE!</v>
      </c>
      <c r="D164" s="110" t="n">
        <v>0</v>
      </c>
      <c r="E164" s="111" t="e">
        <f aca="false">VLOOKUP($B164,Model!$A$8:$E$289,5)</f>
        <v>#VALUE!</v>
      </c>
      <c r="F164" s="111" t="e">
        <f aca="false">VLOOKUP($B164,Model!$A$8:$F$289,6)</f>
        <v>#VALUE!</v>
      </c>
      <c r="G164" s="127" t="e">
        <f aca="false">VLOOKUP($B164,Model!$A$8:$AO$289,41)</f>
        <v>#VALUE!</v>
      </c>
      <c r="I164" s="113" t="n">
        <v>0</v>
      </c>
      <c r="J164" s="114" t="e">
        <f aca="false">VLOOKUP($B164,Curve_Fetch,3)</f>
        <v>#VALUE!</v>
      </c>
      <c r="K164" s="121" t="n">
        <f aca="false">K163</f>
        <v>0</v>
      </c>
      <c r="L164" s="116" t="e">
        <f aca="false">IF(Control!$Y$26=Control!$X$27,J164,I164)+K164</f>
        <v>#VALUE!</v>
      </c>
      <c r="M164" s="113" t="n">
        <v>0</v>
      </c>
      <c r="N164" s="114" t="e">
        <f aca="false">VLOOKUP($B164,Curve_Fetch,VLOOKUP(Control!$AJ$10,Control!$AI$11:$AK$22,3))</f>
        <v>#VALUE!</v>
      </c>
      <c r="O164" s="121" t="n">
        <f aca="false">O163</f>
        <v>0</v>
      </c>
      <c r="P164" s="116" t="e">
        <f aca="false">IF(Control!$Y$31=Control!$X$32,N164,M164)+O164</f>
        <v>#VALUE!</v>
      </c>
      <c r="Q164" s="113" t="n">
        <v>0</v>
      </c>
      <c r="R164" s="114" t="e">
        <f aca="false">VLOOKUP($B164,Curve_Fetch,(VLOOKUP(Control!$AJ$10,Control!$AI$11:$AL$22,4)))</f>
        <v>#VALUE!</v>
      </c>
      <c r="S164" s="121" t="n">
        <f aca="false">S163</f>
        <v>0</v>
      </c>
      <c r="T164" s="116" t="e">
        <f aca="false">IF($C$11="Physical",IF(Control!$Y$37=Control!$X$38,R164,Q164)+S164,0)</f>
        <v>#VALUE!</v>
      </c>
      <c r="U164" s="117" t="e">
        <f aca="false">IF($C$11="Financial",L164+P164,L164+P164+T164)</f>
        <v>#VALUE!</v>
      </c>
      <c r="V164" s="114"/>
      <c r="W164" s="118" t="e">
        <f aca="false">VLOOKUP($B164,Model!$A$8:$S$289,19)</f>
        <v>#VALUE!</v>
      </c>
      <c r="X164" s="120" t="n">
        <f aca="false">X163</f>
        <v>0</v>
      </c>
      <c r="Y164" s="120" t="e">
        <f aca="false">W164+X164</f>
        <v>#VALUE!</v>
      </c>
      <c r="Z164" s="121" t="n">
        <f aca="false">Z163</f>
        <v>0</v>
      </c>
      <c r="AA164" s="121" t="e">
        <f aca="false">U164+Z164</f>
        <v>#VALUE!</v>
      </c>
      <c r="AB164" s="128" t="e">
        <f aca="false">EURO(U164,AA164,VLOOKUP($B164,Curve_Fetch,2),VLOOKUP($B164,Curve_Fetch,2),Y164,VLOOKUP($B164,Model!$A$8:$R$289,18),IF(Euro!$C$10="Call",1,0),0)</f>
        <v>#VALUE!</v>
      </c>
      <c r="AD164" s="123" t="e">
        <f aca="false">$G164*L164</f>
        <v>#VALUE!</v>
      </c>
      <c r="AE164" s="124" t="e">
        <f aca="false">$G164*P164</f>
        <v>#VALUE!</v>
      </c>
      <c r="AF164" s="124" t="e">
        <f aca="false">$G164*T164</f>
        <v>#VALUE!</v>
      </c>
      <c r="AG164" s="124" t="e">
        <f aca="false">$G164*U164</f>
        <v>#VALUE!</v>
      </c>
      <c r="AH164" s="124" t="e">
        <f aca="false">$G164*AA164</f>
        <v>#VALUE!</v>
      </c>
      <c r="AI164" s="125" t="e">
        <f aca="false">$F164*AB164</f>
        <v>#VALUE!</v>
      </c>
      <c r="AK164" s="0"/>
      <c r="AL164" s="0"/>
      <c r="AM164" s="0"/>
      <c r="AN164" s="0"/>
      <c r="AO164" s="0"/>
      <c r="AP164" s="0"/>
      <c r="AQ164" s="0"/>
      <c r="AR164" s="0"/>
    </row>
    <row r="165" customFormat="false" ht="12.75" hidden="false" customHeight="false" outlineLevel="0" collapsed="false">
      <c r="B165" s="108" t="e">
        <f aca="false">([1]!edate,B164,1)</f>
        <v>#VALUE!</v>
      </c>
      <c r="C165" s="109" t="e">
        <f aca="false">IF($C$11="Physical",B166+24,B166)</f>
        <v>#VALUE!</v>
      </c>
      <c r="D165" s="110" t="n">
        <v>0</v>
      </c>
      <c r="E165" s="111" t="e">
        <f aca="false">VLOOKUP($B165,Model!$A$8:$E$289,5)</f>
        <v>#VALUE!</v>
      </c>
      <c r="F165" s="111" t="e">
        <f aca="false">VLOOKUP($B165,Model!$A$8:$F$289,6)</f>
        <v>#VALUE!</v>
      </c>
      <c r="G165" s="127" t="e">
        <f aca="false">VLOOKUP($B165,Model!$A$8:$AO$289,41)</f>
        <v>#VALUE!</v>
      </c>
      <c r="I165" s="113" t="n">
        <v>0</v>
      </c>
      <c r="J165" s="114" t="e">
        <f aca="false">VLOOKUP($B165,Curve_Fetch,3)</f>
        <v>#VALUE!</v>
      </c>
      <c r="K165" s="121" t="n">
        <f aca="false">K164</f>
        <v>0</v>
      </c>
      <c r="L165" s="116" t="e">
        <f aca="false">IF(Control!$Y$26=Control!$X$27,J165,I165)+K165</f>
        <v>#VALUE!</v>
      </c>
      <c r="M165" s="113" t="n">
        <v>0</v>
      </c>
      <c r="N165" s="114" t="e">
        <f aca="false">VLOOKUP($B165,Curve_Fetch,VLOOKUP(Control!$AJ$10,Control!$AI$11:$AK$22,3))</f>
        <v>#VALUE!</v>
      </c>
      <c r="O165" s="121" t="n">
        <f aca="false">O164</f>
        <v>0</v>
      </c>
      <c r="P165" s="116" t="e">
        <f aca="false">IF(Control!$Y$31=Control!$X$32,N165,M165)+O165</f>
        <v>#VALUE!</v>
      </c>
      <c r="Q165" s="113" t="n">
        <v>0</v>
      </c>
      <c r="R165" s="114" t="e">
        <f aca="false">VLOOKUP($B165,Curve_Fetch,(VLOOKUP(Control!$AJ$10,Control!$AI$11:$AL$22,4)))</f>
        <v>#VALUE!</v>
      </c>
      <c r="S165" s="121" t="n">
        <f aca="false">S164</f>
        <v>0</v>
      </c>
      <c r="T165" s="116" t="e">
        <f aca="false">IF($C$11="Physical",IF(Control!$Y$37=Control!$X$38,R165,Q165)+S165,0)</f>
        <v>#VALUE!</v>
      </c>
      <c r="U165" s="117" t="e">
        <f aca="false">IF($C$11="Financial",L165+P165,L165+P165+T165)</f>
        <v>#VALUE!</v>
      </c>
      <c r="V165" s="114"/>
      <c r="W165" s="118" t="e">
        <f aca="false">VLOOKUP($B165,Model!$A$8:$S$289,19)</f>
        <v>#VALUE!</v>
      </c>
      <c r="X165" s="120" t="n">
        <f aca="false">X164</f>
        <v>0</v>
      </c>
      <c r="Y165" s="120" t="e">
        <f aca="false">W165+X165</f>
        <v>#VALUE!</v>
      </c>
      <c r="Z165" s="121" t="n">
        <f aca="false">Z164</f>
        <v>0</v>
      </c>
      <c r="AA165" s="121" t="e">
        <f aca="false">U165+Z165</f>
        <v>#VALUE!</v>
      </c>
      <c r="AB165" s="128" t="e">
        <f aca="false">EURO(U165,AA165,VLOOKUP($B165,Curve_Fetch,2),VLOOKUP($B165,Curve_Fetch,2),Y165,VLOOKUP($B165,Model!$A$8:$R$289,18),IF(Euro!$C$10="Call",1,0),0)</f>
        <v>#VALUE!</v>
      </c>
      <c r="AD165" s="123" t="e">
        <f aca="false">$G165*L165</f>
        <v>#VALUE!</v>
      </c>
      <c r="AE165" s="124" t="e">
        <f aca="false">$G165*P165</f>
        <v>#VALUE!</v>
      </c>
      <c r="AF165" s="124" t="e">
        <f aca="false">$G165*T165</f>
        <v>#VALUE!</v>
      </c>
      <c r="AG165" s="124" t="e">
        <f aca="false">$G165*U165</f>
        <v>#VALUE!</v>
      </c>
      <c r="AH165" s="124" t="e">
        <f aca="false">$G165*AA165</f>
        <v>#VALUE!</v>
      </c>
      <c r="AI165" s="125" t="e">
        <f aca="false">$F165*AB165</f>
        <v>#VALUE!</v>
      </c>
      <c r="AK165" s="0"/>
      <c r="AL165" s="0"/>
      <c r="AM165" s="0"/>
      <c r="AN165" s="0"/>
      <c r="AO165" s="0"/>
      <c r="AP165" s="0"/>
      <c r="AQ165" s="0"/>
      <c r="AR165" s="0"/>
    </row>
    <row r="166" customFormat="false" ht="12.75" hidden="false" customHeight="false" outlineLevel="0" collapsed="false">
      <c r="B166" s="108" t="e">
        <f aca="false">([1]!edate,B165,1)</f>
        <v>#VALUE!</v>
      </c>
      <c r="C166" s="109" t="e">
        <f aca="false">IF($C$11="Physical",B167+24,B167)</f>
        <v>#VALUE!</v>
      </c>
      <c r="D166" s="110" t="n">
        <v>0</v>
      </c>
      <c r="E166" s="111" t="e">
        <f aca="false">VLOOKUP($B166,Model!$A$8:$E$289,5)</f>
        <v>#VALUE!</v>
      </c>
      <c r="F166" s="111" t="e">
        <f aca="false">VLOOKUP($B166,Model!$A$8:$F$289,6)</f>
        <v>#VALUE!</v>
      </c>
      <c r="G166" s="127" t="e">
        <f aca="false">VLOOKUP($B166,Model!$A$8:$AO$289,41)</f>
        <v>#VALUE!</v>
      </c>
      <c r="I166" s="113" t="n">
        <v>0</v>
      </c>
      <c r="J166" s="114" t="e">
        <f aca="false">VLOOKUP($B166,Curve_Fetch,3)</f>
        <v>#VALUE!</v>
      </c>
      <c r="K166" s="121" t="n">
        <f aca="false">K165</f>
        <v>0</v>
      </c>
      <c r="L166" s="116" t="e">
        <f aca="false">IF(Control!$Y$26=Control!$X$27,J166,I166)+K166</f>
        <v>#VALUE!</v>
      </c>
      <c r="M166" s="113" t="n">
        <v>0</v>
      </c>
      <c r="N166" s="114" t="e">
        <f aca="false">VLOOKUP($B166,Curve_Fetch,VLOOKUP(Control!$AJ$10,Control!$AI$11:$AK$22,3))</f>
        <v>#VALUE!</v>
      </c>
      <c r="O166" s="121" t="n">
        <f aca="false">O165</f>
        <v>0</v>
      </c>
      <c r="P166" s="116" t="e">
        <f aca="false">IF(Control!$Y$31=Control!$X$32,N166,M166)+O166</f>
        <v>#VALUE!</v>
      </c>
      <c r="Q166" s="113" t="n">
        <v>0</v>
      </c>
      <c r="R166" s="114" t="e">
        <f aca="false">VLOOKUP($B166,Curve_Fetch,(VLOOKUP(Control!$AJ$10,Control!$AI$11:$AL$22,4)))</f>
        <v>#VALUE!</v>
      </c>
      <c r="S166" s="121" t="n">
        <f aca="false">S165</f>
        <v>0</v>
      </c>
      <c r="T166" s="116" t="e">
        <f aca="false">IF($C$11="Physical",IF(Control!$Y$37=Control!$X$38,R166,Q166)+S166,0)</f>
        <v>#VALUE!</v>
      </c>
      <c r="U166" s="117" t="e">
        <f aca="false">IF($C$11="Financial",L166+P166,L166+P166+T166)</f>
        <v>#VALUE!</v>
      </c>
      <c r="V166" s="114"/>
      <c r="W166" s="118" t="e">
        <f aca="false">VLOOKUP($B166,Model!$A$8:$S$289,19)</f>
        <v>#VALUE!</v>
      </c>
      <c r="X166" s="120" t="n">
        <f aca="false">X165</f>
        <v>0</v>
      </c>
      <c r="Y166" s="120" t="e">
        <f aca="false">W166+X166</f>
        <v>#VALUE!</v>
      </c>
      <c r="Z166" s="121" t="n">
        <f aca="false">Z165</f>
        <v>0</v>
      </c>
      <c r="AA166" s="121" t="e">
        <f aca="false">U166+Z166</f>
        <v>#VALUE!</v>
      </c>
      <c r="AB166" s="128" t="e">
        <f aca="false">EURO(U166,AA166,VLOOKUP($B166,Curve_Fetch,2),VLOOKUP($B166,Curve_Fetch,2),Y166,VLOOKUP($B166,Model!$A$8:$R$289,18),IF(Euro!$C$10="Call",1,0),0)</f>
        <v>#VALUE!</v>
      </c>
      <c r="AD166" s="123" t="e">
        <f aca="false">$G166*L166</f>
        <v>#VALUE!</v>
      </c>
      <c r="AE166" s="124" t="e">
        <f aca="false">$G166*P166</f>
        <v>#VALUE!</v>
      </c>
      <c r="AF166" s="124" t="e">
        <f aca="false">$G166*T166</f>
        <v>#VALUE!</v>
      </c>
      <c r="AG166" s="124" t="e">
        <f aca="false">$G166*U166</f>
        <v>#VALUE!</v>
      </c>
      <c r="AH166" s="124" t="e">
        <f aca="false">$G166*AA166</f>
        <v>#VALUE!</v>
      </c>
      <c r="AI166" s="125" t="e">
        <f aca="false">$F166*AB166</f>
        <v>#VALUE!</v>
      </c>
      <c r="AK166" s="0"/>
      <c r="AL166" s="0"/>
      <c r="AM166" s="0"/>
      <c r="AN166" s="0"/>
      <c r="AO166" s="0"/>
      <c r="AP166" s="0"/>
      <c r="AQ166" s="0"/>
      <c r="AR166" s="0"/>
    </row>
    <row r="167" customFormat="false" ht="12.75" hidden="false" customHeight="false" outlineLevel="0" collapsed="false">
      <c r="B167" s="108" t="e">
        <f aca="false">([1]!edate,B166,1)</f>
        <v>#VALUE!</v>
      </c>
      <c r="C167" s="109" t="e">
        <f aca="false">IF($C$11="Physical",B168+24,B168)</f>
        <v>#VALUE!</v>
      </c>
      <c r="D167" s="110" t="n">
        <v>0</v>
      </c>
      <c r="E167" s="111" t="e">
        <f aca="false">VLOOKUP($B167,Model!$A$8:$E$289,5)</f>
        <v>#VALUE!</v>
      </c>
      <c r="F167" s="111" t="e">
        <f aca="false">VLOOKUP($B167,Model!$A$8:$F$289,6)</f>
        <v>#VALUE!</v>
      </c>
      <c r="G167" s="127" t="e">
        <f aca="false">VLOOKUP($B167,Model!$A$8:$AO$289,41)</f>
        <v>#VALUE!</v>
      </c>
      <c r="I167" s="113" t="n">
        <v>0</v>
      </c>
      <c r="J167" s="114" t="e">
        <f aca="false">VLOOKUP($B167,Curve_Fetch,3)</f>
        <v>#VALUE!</v>
      </c>
      <c r="K167" s="121" t="n">
        <f aca="false">K166</f>
        <v>0</v>
      </c>
      <c r="L167" s="116" t="e">
        <f aca="false">IF(Control!$Y$26=Control!$X$27,J167,I167)+K167</f>
        <v>#VALUE!</v>
      </c>
      <c r="M167" s="113" t="n">
        <v>0</v>
      </c>
      <c r="N167" s="114" t="e">
        <f aca="false">VLOOKUP($B167,Curve_Fetch,VLOOKUP(Control!$AJ$10,Control!$AI$11:$AK$22,3))</f>
        <v>#VALUE!</v>
      </c>
      <c r="O167" s="121" t="n">
        <f aca="false">O166</f>
        <v>0</v>
      </c>
      <c r="P167" s="116" t="e">
        <f aca="false">IF(Control!$Y$31=Control!$X$32,N167,M167)+O167</f>
        <v>#VALUE!</v>
      </c>
      <c r="Q167" s="113" t="n">
        <v>0</v>
      </c>
      <c r="R167" s="114" t="e">
        <f aca="false">VLOOKUP($B167,Curve_Fetch,(VLOOKUP(Control!$AJ$10,Control!$AI$11:$AL$22,4)))</f>
        <v>#VALUE!</v>
      </c>
      <c r="S167" s="121" t="n">
        <f aca="false">S166</f>
        <v>0</v>
      </c>
      <c r="T167" s="116" t="e">
        <f aca="false">IF($C$11="Physical",IF(Control!$Y$37=Control!$X$38,R167,Q167)+S167,0)</f>
        <v>#VALUE!</v>
      </c>
      <c r="U167" s="117" t="e">
        <f aca="false">IF($C$11="Financial",L167+P167,L167+P167+T167)</f>
        <v>#VALUE!</v>
      </c>
      <c r="V167" s="114"/>
      <c r="W167" s="118" t="e">
        <f aca="false">VLOOKUP($B167,Model!$A$8:$S$289,19)</f>
        <v>#VALUE!</v>
      </c>
      <c r="X167" s="120" t="n">
        <f aca="false">X166</f>
        <v>0</v>
      </c>
      <c r="Y167" s="120" t="e">
        <f aca="false">W167+X167</f>
        <v>#VALUE!</v>
      </c>
      <c r="Z167" s="121" t="n">
        <f aca="false">Z166</f>
        <v>0</v>
      </c>
      <c r="AA167" s="121" t="e">
        <f aca="false">U167+Z167</f>
        <v>#VALUE!</v>
      </c>
      <c r="AB167" s="128" t="e">
        <f aca="false">EURO(U167,AA167,VLOOKUP($B167,Curve_Fetch,2),VLOOKUP($B167,Curve_Fetch,2),Y167,VLOOKUP($B167,Model!$A$8:$R$289,18),IF(Euro!$C$10="Call",1,0),0)</f>
        <v>#VALUE!</v>
      </c>
      <c r="AD167" s="123" t="e">
        <f aca="false">$G167*L167</f>
        <v>#VALUE!</v>
      </c>
      <c r="AE167" s="124" t="e">
        <f aca="false">$G167*P167</f>
        <v>#VALUE!</v>
      </c>
      <c r="AF167" s="124" t="e">
        <f aca="false">$G167*T167</f>
        <v>#VALUE!</v>
      </c>
      <c r="AG167" s="124" t="e">
        <f aca="false">$G167*U167</f>
        <v>#VALUE!</v>
      </c>
      <c r="AH167" s="124" t="e">
        <f aca="false">$G167*AA167</f>
        <v>#VALUE!</v>
      </c>
      <c r="AI167" s="125" t="e">
        <f aca="false">$F167*AB167</f>
        <v>#VALUE!</v>
      </c>
      <c r="AK167" s="0"/>
      <c r="AL167" s="0"/>
      <c r="AM167" s="0"/>
      <c r="AN167" s="0"/>
      <c r="AO167" s="0"/>
      <c r="AP167" s="0"/>
      <c r="AQ167" s="0"/>
      <c r="AR167" s="0"/>
    </row>
    <row r="168" customFormat="false" ht="12.75" hidden="false" customHeight="false" outlineLevel="0" collapsed="false">
      <c r="B168" s="108" t="e">
        <f aca="false">([1]!edate,B167,1)</f>
        <v>#VALUE!</v>
      </c>
      <c r="C168" s="109" t="e">
        <f aca="false">IF($C$11="Physical",B169+24,B169)</f>
        <v>#VALUE!</v>
      </c>
      <c r="D168" s="110" t="n">
        <v>0</v>
      </c>
      <c r="E168" s="111" t="e">
        <f aca="false">VLOOKUP($B168,Model!$A$8:$E$289,5)</f>
        <v>#VALUE!</v>
      </c>
      <c r="F168" s="111" t="e">
        <f aca="false">VLOOKUP($B168,Model!$A$8:$F$289,6)</f>
        <v>#VALUE!</v>
      </c>
      <c r="G168" s="127" t="e">
        <f aca="false">VLOOKUP($B168,Model!$A$8:$AO$289,41)</f>
        <v>#VALUE!</v>
      </c>
      <c r="I168" s="113" t="n">
        <v>0</v>
      </c>
      <c r="J168" s="114" t="e">
        <f aca="false">VLOOKUP($B168,Curve_Fetch,3)</f>
        <v>#VALUE!</v>
      </c>
      <c r="K168" s="121" t="n">
        <f aca="false">K167</f>
        <v>0</v>
      </c>
      <c r="L168" s="116" t="e">
        <f aca="false">IF(Control!$Y$26=Control!$X$27,J168,I168)+K168</f>
        <v>#VALUE!</v>
      </c>
      <c r="M168" s="113" t="n">
        <v>0</v>
      </c>
      <c r="N168" s="114" t="e">
        <f aca="false">VLOOKUP($B168,Curve_Fetch,VLOOKUP(Control!$AJ$10,Control!$AI$11:$AK$22,3))</f>
        <v>#VALUE!</v>
      </c>
      <c r="O168" s="121" t="n">
        <f aca="false">O167</f>
        <v>0</v>
      </c>
      <c r="P168" s="116" t="e">
        <f aca="false">IF(Control!$Y$31=Control!$X$32,N168,M168)+O168</f>
        <v>#VALUE!</v>
      </c>
      <c r="Q168" s="113" t="n">
        <v>0</v>
      </c>
      <c r="R168" s="114" t="e">
        <f aca="false">VLOOKUP($B168,Curve_Fetch,(VLOOKUP(Control!$AJ$10,Control!$AI$11:$AL$22,4)))</f>
        <v>#VALUE!</v>
      </c>
      <c r="S168" s="121" t="n">
        <f aca="false">S167</f>
        <v>0</v>
      </c>
      <c r="T168" s="116" t="e">
        <f aca="false">IF($C$11="Physical",IF(Control!$Y$37=Control!$X$38,R168,Q168)+S168,0)</f>
        <v>#VALUE!</v>
      </c>
      <c r="U168" s="117" t="e">
        <f aca="false">IF($C$11="Financial",L168+P168,L168+P168+T168)</f>
        <v>#VALUE!</v>
      </c>
      <c r="V168" s="114"/>
      <c r="W168" s="118" t="e">
        <f aca="false">VLOOKUP($B168,Model!$A$8:$S$289,19)</f>
        <v>#VALUE!</v>
      </c>
      <c r="X168" s="120" t="n">
        <f aca="false">X167</f>
        <v>0</v>
      </c>
      <c r="Y168" s="120" t="e">
        <f aca="false">W168+X168</f>
        <v>#VALUE!</v>
      </c>
      <c r="Z168" s="121" t="n">
        <f aca="false">Z167</f>
        <v>0</v>
      </c>
      <c r="AA168" s="121" t="e">
        <f aca="false">U168+Z168</f>
        <v>#VALUE!</v>
      </c>
      <c r="AB168" s="128" t="e">
        <f aca="false">EURO(U168,AA168,VLOOKUP($B168,Curve_Fetch,2),VLOOKUP($B168,Curve_Fetch,2),Y168,VLOOKUP($B168,Model!$A$8:$R$289,18),IF(Euro!$C$10="Call",1,0),0)</f>
        <v>#VALUE!</v>
      </c>
      <c r="AD168" s="123" t="e">
        <f aca="false">$G168*L168</f>
        <v>#VALUE!</v>
      </c>
      <c r="AE168" s="124" t="e">
        <f aca="false">$G168*P168</f>
        <v>#VALUE!</v>
      </c>
      <c r="AF168" s="124" t="e">
        <f aca="false">$G168*T168</f>
        <v>#VALUE!</v>
      </c>
      <c r="AG168" s="124" t="e">
        <f aca="false">$G168*U168</f>
        <v>#VALUE!</v>
      </c>
      <c r="AH168" s="124" t="e">
        <f aca="false">$G168*AA168</f>
        <v>#VALUE!</v>
      </c>
      <c r="AI168" s="125" t="e">
        <f aca="false">$F168*AB168</f>
        <v>#VALUE!</v>
      </c>
      <c r="AK168" s="0"/>
      <c r="AL168" s="0"/>
      <c r="AM168" s="0"/>
      <c r="AN168" s="0"/>
      <c r="AO168" s="0"/>
      <c r="AP168" s="0"/>
      <c r="AQ168" s="0"/>
      <c r="AR168" s="0"/>
    </row>
    <row r="169" customFormat="false" ht="12.75" hidden="false" customHeight="false" outlineLevel="0" collapsed="false">
      <c r="B169" s="108" t="e">
        <f aca="false">([1]!edate,B168,1)</f>
        <v>#VALUE!</v>
      </c>
      <c r="C169" s="109" t="e">
        <f aca="false">IF($C$11="Physical",B170+24,B170)</f>
        <v>#VALUE!</v>
      </c>
      <c r="D169" s="110" t="n">
        <v>0</v>
      </c>
      <c r="E169" s="111" t="e">
        <f aca="false">VLOOKUP($B169,Model!$A$8:$E$289,5)</f>
        <v>#VALUE!</v>
      </c>
      <c r="F169" s="111" t="e">
        <f aca="false">VLOOKUP($B169,Model!$A$8:$F$289,6)</f>
        <v>#VALUE!</v>
      </c>
      <c r="G169" s="127" t="e">
        <f aca="false">VLOOKUP($B169,Model!$A$8:$AO$289,41)</f>
        <v>#VALUE!</v>
      </c>
      <c r="I169" s="113" t="n">
        <v>0</v>
      </c>
      <c r="J169" s="114" t="e">
        <f aca="false">VLOOKUP($B169,Curve_Fetch,3)</f>
        <v>#VALUE!</v>
      </c>
      <c r="K169" s="121" t="n">
        <f aca="false">K168</f>
        <v>0</v>
      </c>
      <c r="L169" s="116" t="e">
        <f aca="false">IF(Control!$Y$26=Control!$X$27,J169,I169)+K169</f>
        <v>#VALUE!</v>
      </c>
      <c r="M169" s="113" t="n">
        <v>0</v>
      </c>
      <c r="N169" s="114" t="e">
        <f aca="false">VLOOKUP($B169,Curve_Fetch,VLOOKUP(Control!$AJ$10,Control!$AI$11:$AK$22,3))</f>
        <v>#VALUE!</v>
      </c>
      <c r="O169" s="121" t="n">
        <f aca="false">O168</f>
        <v>0</v>
      </c>
      <c r="P169" s="116" t="e">
        <f aca="false">IF(Control!$Y$31=Control!$X$32,N169,M169)+O169</f>
        <v>#VALUE!</v>
      </c>
      <c r="Q169" s="113" t="n">
        <v>0</v>
      </c>
      <c r="R169" s="114" t="e">
        <f aca="false">VLOOKUP($B169,Curve_Fetch,(VLOOKUP(Control!$AJ$10,Control!$AI$11:$AL$22,4)))</f>
        <v>#VALUE!</v>
      </c>
      <c r="S169" s="121" t="n">
        <f aca="false">S168</f>
        <v>0</v>
      </c>
      <c r="T169" s="116" t="e">
        <f aca="false">IF($C$11="Physical",IF(Control!$Y$37=Control!$X$38,R169,Q169)+S169,0)</f>
        <v>#VALUE!</v>
      </c>
      <c r="U169" s="117" t="e">
        <f aca="false">IF($C$11="Financial",L169+P169,L169+P169+T169)</f>
        <v>#VALUE!</v>
      </c>
      <c r="V169" s="114"/>
      <c r="W169" s="118" t="e">
        <f aca="false">VLOOKUP($B169,Model!$A$8:$S$289,19)</f>
        <v>#VALUE!</v>
      </c>
      <c r="X169" s="120" t="n">
        <f aca="false">X168</f>
        <v>0</v>
      </c>
      <c r="Y169" s="120" t="e">
        <f aca="false">W169+X169</f>
        <v>#VALUE!</v>
      </c>
      <c r="Z169" s="121" t="n">
        <f aca="false">Z168</f>
        <v>0</v>
      </c>
      <c r="AA169" s="121" t="e">
        <f aca="false">U169+Z169</f>
        <v>#VALUE!</v>
      </c>
      <c r="AB169" s="128" t="e">
        <f aca="false">EURO(U169,AA169,VLOOKUP($B169,Curve_Fetch,2),VLOOKUP($B169,Curve_Fetch,2),Y169,VLOOKUP($B169,Model!$A$8:$R$289,18),IF(Euro!$C$10="Call",1,0),0)</f>
        <v>#VALUE!</v>
      </c>
      <c r="AD169" s="123" t="e">
        <f aca="false">$G169*L169</f>
        <v>#VALUE!</v>
      </c>
      <c r="AE169" s="124" t="e">
        <f aca="false">$G169*P169</f>
        <v>#VALUE!</v>
      </c>
      <c r="AF169" s="124" t="e">
        <f aca="false">$G169*T169</f>
        <v>#VALUE!</v>
      </c>
      <c r="AG169" s="124" t="e">
        <f aca="false">$G169*U169</f>
        <v>#VALUE!</v>
      </c>
      <c r="AH169" s="124" t="e">
        <f aca="false">$G169*AA169</f>
        <v>#VALUE!</v>
      </c>
      <c r="AI169" s="125" t="e">
        <f aca="false">$F169*AB169</f>
        <v>#VALUE!</v>
      </c>
      <c r="AK169" s="0"/>
      <c r="AL169" s="0"/>
      <c r="AM169" s="0"/>
      <c r="AN169" s="0"/>
      <c r="AO169" s="0"/>
      <c r="AP169" s="0"/>
      <c r="AQ169" s="0"/>
      <c r="AR169" s="0"/>
    </row>
    <row r="170" customFormat="false" ht="12.75" hidden="false" customHeight="false" outlineLevel="0" collapsed="false">
      <c r="B170" s="108" t="e">
        <f aca="false">([1]!edate,B169,1)</f>
        <v>#VALUE!</v>
      </c>
      <c r="C170" s="109" t="e">
        <f aca="false">IF($C$11="Physical",B171+24,B171)</f>
        <v>#VALUE!</v>
      </c>
      <c r="D170" s="110" t="n">
        <v>0</v>
      </c>
      <c r="E170" s="111" t="e">
        <f aca="false">VLOOKUP($B170,Model!$A$8:$E$289,5)</f>
        <v>#VALUE!</v>
      </c>
      <c r="F170" s="111" t="e">
        <f aca="false">VLOOKUP($B170,Model!$A$8:$F$289,6)</f>
        <v>#VALUE!</v>
      </c>
      <c r="G170" s="127" t="e">
        <f aca="false">VLOOKUP($B170,Model!$A$8:$AO$289,41)</f>
        <v>#VALUE!</v>
      </c>
      <c r="I170" s="113" t="n">
        <v>0</v>
      </c>
      <c r="J170" s="114" t="e">
        <f aca="false">VLOOKUP($B170,Curve_Fetch,3)</f>
        <v>#VALUE!</v>
      </c>
      <c r="K170" s="121" t="n">
        <f aca="false">K169</f>
        <v>0</v>
      </c>
      <c r="L170" s="116" t="e">
        <f aca="false">IF(Control!$Y$26=Control!$X$27,J170,I170)+K170</f>
        <v>#VALUE!</v>
      </c>
      <c r="M170" s="113" t="n">
        <v>0</v>
      </c>
      <c r="N170" s="114" t="e">
        <f aca="false">VLOOKUP($B170,Curve_Fetch,VLOOKUP(Control!$AJ$10,Control!$AI$11:$AK$22,3))</f>
        <v>#VALUE!</v>
      </c>
      <c r="O170" s="121" t="n">
        <f aca="false">O169</f>
        <v>0</v>
      </c>
      <c r="P170" s="116" t="e">
        <f aca="false">IF(Control!$Y$31=Control!$X$32,N170,M170)+O170</f>
        <v>#VALUE!</v>
      </c>
      <c r="Q170" s="113" t="n">
        <v>0</v>
      </c>
      <c r="R170" s="114" t="e">
        <f aca="false">VLOOKUP($B170,Curve_Fetch,(VLOOKUP(Control!$AJ$10,Control!$AI$11:$AL$22,4)))</f>
        <v>#VALUE!</v>
      </c>
      <c r="S170" s="121" t="n">
        <f aca="false">S169</f>
        <v>0</v>
      </c>
      <c r="T170" s="116" t="e">
        <f aca="false">IF($C$11="Physical",IF(Control!$Y$37=Control!$X$38,R170,Q170)+S170,0)</f>
        <v>#VALUE!</v>
      </c>
      <c r="U170" s="117" t="e">
        <f aca="false">IF($C$11="Financial",L170+P170,L170+P170+T170)</f>
        <v>#VALUE!</v>
      </c>
      <c r="V170" s="114"/>
      <c r="W170" s="118" t="e">
        <f aca="false">VLOOKUP($B170,Model!$A$8:$S$289,19)</f>
        <v>#VALUE!</v>
      </c>
      <c r="X170" s="120" t="n">
        <f aca="false">X169</f>
        <v>0</v>
      </c>
      <c r="Y170" s="120" t="e">
        <f aca="false">W170+X170</f>
        <v>#VALUE!</v>
      </c>
      <c r="Z170" s="121" t="n">
        <f aca="false">Z169</f>
        <v>0</v>
      </c>
      <c r="AA170" s="121" t="e">
        <f aca="false">U170+Z170</f>
        <v>#VALUE!</v>
      </c>
      <c r="AB170" s="128" t="e">
        <f aca="false">EURO(U170,AA170,VLOOKUP($B170,Curve_Fetch,2),VLOOKUP($B170,Curve_Fetch,2),Y170,VLOOKUP($B170,Model!$A$8:$R$289,18),IF(Euro!$C$10="Call",1,0),0)</f>
        <v>#VALUE!</v>
      </c>
      <c r="AD170" s="123" t="e">
        <f aca="false">$G170*L170</f>
        <v>#VALUE!</v>
      </c>
      <c r="AE170" s="124" t="e">
        <f aca="false">$G170*P170</f>
        <v>#VALUE!</v>
      </c>
      <c r="AF170" s="124" t="e">
        <f aca="false">$G170*T170</f>
        <v>#VALUE!</v>
      </c>
      <c r="AG170" s="124" t="e">
        <f aca="false">$G170*U170</f>
        <v>#VALUE!</v>
      </c>
      <c r="AH170" s="124" t="e">
        <f aca="false">$G170*AA170</f>
        <v>#VALUE!</v>
      </c>
      <c r="AI170" s="125" t="e">
        <f aca="false">$F170*AB170</f>
        <v>#VALUE!</v>
      </c>
      <c r="AK170" s="0"/>
      <c r="AL170" s="0"/>
      <c r="AM170" s="0"/>
      <c r="AN170" s="0"/>
      <c r="AO170" s="0"/>
      <c r="AP170" s="0"/>
      <c r="AQ170" s="0"/>
      <c r="AR170" s="0"/>
    </row>
    <row r="171" customFormat="false" ht="12.75" hidden="false" customHeight="false" outlineLevel="0" collapsed="false">
      <c r="B171" s="108" t="e">
        <f aca="false">([1]!edate,B170,1)</f>
        <v>#VALUE!</v>
      </c>
      <c r="C171" s="109" t="e">
        <f aca="false">IF($C$11="Physical",B172+24,B172)</f>
        <v>#VALUE!</v>
      </c>
      <c r="D171" s="110" t="n">
        <v>0</v>
      </c>
      <c r="E171" s="111" t="e">
        <f aca="false">VLOOKUP($B171,Model!$A$8:$E$289,5)</f>
        <v>#VALUE!</v>
      </c>
      <c r="F171" s="111" t="e">
        <f aca="false">VLOOKUP($B171,Model!$A$8:$F$289,6)</f>
        <v>#VALUE!</v>
      </c>
      <c r="G171" s="127" t="e">
        <f aca="false">VLOOKUP($B171,Model!$A$8:$AO$289,41)</f>
        <v>#VALUE!</v>
      </c>
      <c r="I171" s="113" t="n">
        <v>0</v>
      </c>
      <c r="J171" s="114" t="e">
        <f aca="false">VLOOKUP($B171,Curve_Fetch,3)</f>
        <v>#VALUE!</v>
      </c>
      <c r="K171" s="121" t="n">
        <f aca="false">K170</f>
        <v>0</v>
      </c>
      <c r="L171" s="116" t="e">
        <f aca="false">IF(Control!$Y$26=Control!$X$27,J171,I171)+K171</f>
        <v>#VALUE!</v>
      </c>
      <c r="M171" s="113" t="n">
        <v>0</v>
      </c>
      <c r="N171" s="114" t="e">
        <f aca="false">VLOOKUP($B171,Curve_Fetch,VLOOKUP(Control!$AJ$10,Control!$AI$11:$AK$22,3))</f>
        <v>#VALUE!</v>
      </c>
      <c r="O171" s="121" t="n">
        <f aca="false">O170</f>
        <v>0</v>
      </c>
      <c r="P171" s="116" t="e">
        <f aca="false">IF(Control!$Y$31=Control!$X$32,N171,M171)+O171</f>
        <v>#VALUE!</v>
      </c>
      <c r="Q171" s="113" t="n">
        <v>0</v>
      </c>
      <c r="R171" s="114" t="e">
        <f aca="false">VLOOKUP($B171,Curve_Fetch,(VLOOKUP(Control!$AJ$10,Control!$AI$11:$AL$22,4)))</f>
        <v>#VALUE!</v>
      </c>
      <c r="S171" s="121" t="n">
        <f aca="false">S170</f>
        <v>0</v>
      </c>
      <c r="T171" s="116" t="e">
        <f aca="false">IF($C$11="Physical",IF(Control!$Y$37=Control!$X$38,R171,Q171)+S171,0)</f>
        <v>#VALUE!</v>
      </c>
      <c r="U171" s="117" t="e">
        <f aca="false">IF($C$11="Financial",L171+P171,L171+P171+T171)</f>
        <v>#VALUE!</v>
      </c>
      <c r="V171" s="114"/>
      <c r="W171" s="118" t="e">
        <f aca="false">VLOOKUP($B171,Model!$A$8:$S$289,19)</f>
        <v>#VALUE!</v>
      </c>
      <c r="X171" s="120" t="n">
        <f aca="false">X170</f>
        <v>0</v>
      </c>
      <c r="Y171" s="120" t="e">
        <f aca="false">W171+X171</f>
        <v>#VALUE!</v>
      </c>
      <c r="Z171" s="121" t="n">
        <f aca="false">Z170</f>
        <v>0</v>
      </c>
      <c r="AA171" s="121" t="e">
        <f aca="false">U171+Z171</f>
        <v>#VALUE!</v>
      </c>
      <c r="AB171" s="128" t="e">
        <f aca="false">EURO(U171,AA171,VLOOKUP($B171,Curve_Fetch,2),VLOOKUP($B171,Curve_Fetch,2),Y171,VLOOKUP($B171,Model!$A$8:$R$289,18),IF(Euro!$C$10="Call",1,0),0)</f>
        <v>#VALUE!</v>
      </c>
      <c r="AD171" s="123" t="e">
        <f aca="false">$G171*L171</f>
        <v>#VALUE!</v>
      </c>
      <c r="AE171" s="124" t="e">
        <f aca="false">$G171*P171</f>
        <v>#VALUE!</v>
      </c>
      <c r="AF171" s="124" t="e">
        <f aca="false">$G171*T171</f>
        <v>#VALUE!</v>
      </c>
      <c r="AG171" s="124" t="e">
        <f aca="false">$G171*U171</f>
        <v>#VALUE!</v>
      </c>
      <c r="AH171" s="124" t="e">
        <f aca="false">$G171*AA171</f>
        <v>#VALUE!</v>
      </c>
      <c r="AI171" s="125" t="e">
        <f aca="false">$F171*AB171</f>
        <v>#VALUE!</v>
      </c>
      <c r="AK171" s="0"/>
      <c r="AL171" s="0"/>
      <c r="AM171" s="0"/>
      <c r="AN171" s="0"/>
      <c r="AO171" s="0"/>
      <c r="AP171" s="0"/>
      <c r="AQ171" s="0"/>
      <c r="AR171" s="0"/>
    </row>
    <row r="172" customFormat="false" ht="12.75" hidden="false" customHeight="false" outlineLevel="0" collapsed="false">
      <c r="B172" s="108" t="e">
        <f aca="false">([1]!edate,B171,1)</f>
        <v>#VALUE!</v>
      </c>
      <c r="C172" s="109" t="e">
        <f aca="false">IF($C$11="Physical",B173+24,B173)</f>
        <v>#VALUE!</v>
      </c>
      <c r="D172" s="110" t="n">
        <v>0</v>
      </c>
      <c r="E172" s="111" t="e">
        <f aca="false">VLOOKUP($B172,Model!$A$8:$E$289,5)</f>
        <v>#VALUE!</v>
      </c>
      <c r="F172" s="111" t="e">
        <f aca="false">VLOOKUP($B172,Model!$A$8:$F$289,6)</f>
        <v>#VALUE!</v>
      </c>
      <c r="G172" s="127" t="e">
        <f aca="false">VLOOKUP($B172,Model!$A$8:$AO$289,41)</f>
        <v>#VALUE!</v>
      </c>
      <c r="I172" s="113" t="n">
        <v>0</v>
      </c>
      <c r="J172" s="114" t="e">
        <f aca="false">VLOOKUP($B172,Curve_Fetch,3)</f>
        <v>#VALUE!</v>
      </c>
      <c r="K172" s="121" t="n">
        <f aca="false">K171</f>
        <v>0</v>
      </c>
      <c r="L172" s="116" t="e">
        <f aca="false">IF(Control!$Y$26=Control!$X$27,J172,I172)+K172</f>
        <v>#VALUE!</v>
      </c>
      <c r="M172" s="113" t="n">
        <v>0</v>
      </c>
      <c r="N172" s="114" t="e">
        <f aca="false">VLOOKUP($B172,Curve_Fetch,VLOOKUP(Control!$AJ$10,Control!$AI$11:$AK$22,3))</f>
        <v>#VALUE!</v>
      </c>
      <c r="O172" s="121" t="n">
        <f aca="false">O171</f>
        <v>0</v>
      </c>
      <c r="P172" s="116" t="e">
        <f aca="false">IF(Control!$Y$31=Control!$X$32,N172,M172)+O172</f>
        <v>#VALUE!</v>
      </c>
      <c r="Q172" s="113" t="n">
        <v>0</v>
      </c>
      <c r="R172" s="114" t="e">
        <f aca="false">VLOOKUP($B172,Curve_Fetch,(VLOOKUP(Control!$AJ$10,Control!$AI$11:$AL$22,4)))</f>
        <v>#VALUE!</v>
      </c>
      <c r="S172" s="121" t="n">
        <f aca="false">S171</f>
        <v>0</v>
      </c>
      <c r="T172" s="116" t="e">
        <f aca="false">IF($C$11="Physical",IF(Control!$Y$37=Control!$X$38,R172,Q172)+S172,0)</f>
        <v>#VALUE!</v>
      </c>
      <c r="U172" s="117" t="e">
        <f aca="false">IF($C$11="Financial",L172+P172,L172+P172+T172)</f>
        <v>#VALUE!</v>
      </c>
      <c r="V172" s="114"/>
      <c r="W172" s="118" t="e">
        <f aca="false">VLOOKUP($B172,Model!$A$8:$S$289,19)</f>
        <v>#VALUE!</v>
      </c>
      <c r="X172" s="120" t="n">
        <f aca="false">X171</f>
        <v>0</v>
      </c>
      <c r="Y172" s="120" t="e">
        <f aca="false">W172+X172</f>
        <v>#VALUE!</v>
      </c>
      <c r="Z172" s="121" t="n">
        <f aca="false">Z171</f>
        <v>0</v>
      </c>
      <c r="AA172" s="121" t="e">
        <f aca="false">U172+Z172</f>
        <v>#VALUE!</v>
      </c>
      <c r="AB172" s="128" t="e">
        <f aca="false">EURO(U172,AA172,VLOOKUP($B172,Curve_Fetch,2),VLOOKUP($B172,Curve_Fetch,2),Y172,VLOOKUP($B172,Model!$A$8:$R$289,18),IF(Euro!$C$10="Call",1,0),0)</f>
        <v>#VALUE!</v>
      </c>
      <c r="AD172" s="123" t="e">
        <f aca="false">$G172*L172</f>
        <v>#VALUE!</v>
      </c>
      <c r="AE172" s="124" t="e">
        <f aca="false">$G172*P172</f>
        <v>#VALUE!</v>
      </c>
      <c r="AF172" s="124" t="e">
        <f aca="false">$G172*T172</f>
        <v>#VALUE!</v>
      </c>
      <c r="AG172" s="124" t="e">
        <f aca="false">$G172*U172</f>
        <v>#VALUE!</v>
      </c>
      <c r="AH172" s="124" t="e">
        <f aca="false">$G172*AA172</f>
        <v>#VALUE!</v>
      </c>
      <c r="AI172" s="125" t="e">
        <f aca="false">$F172*AB172</f>
        <v>#VALUE!</v>
      </c>
      <c r="AK172" s="0"/>
      <c r="AL172" s="0"/>
      <c r="AM172" s="0"/>
      <c r="AN172" s="0"/>
      <c r="AO172" s="0"/>
      <c r="AP172" s="0"/>
      <c r="AQ172" s="0"/>
      <c r="AR172" s="0"/>
    </row>
    <row r="173" customFormat="false" ht="12.75" hidden="false" customHeight="false" outlineLevel="0" collapsed="false">
      <c r="B173" s="108" t="e">
        <f aca="false">([1]!edate,B172,1)</f>
        <v>#VALUE!</v>
      </c>
      <c r="C173" s="109" t="e">
        <f aca="false">IF($C$11="Physical",B174+24,B174)</f>
        <v>#VALUE!</v>
      </c>
      <c r="D173" s="110" t="n">
        <v>0</v>
      </c>
      <c r="E173" s="111" t="e">
        <f aca="false">VLOOKUP($B173,Model!$A$8:$E$289,5)</f>
        <v>#VALUE!</v>
      </c>
      <c r="F173" s="111" t="e">
        <f aca="false">VLOOKUP($B173,Model!$A$8:$F$289,6)</f>
        <v>#VALUE!</v>
      </c>
      <c r="G173" s="127" t="e">
        <f aca="false">VLOOKUP($B173,Model!$A$8:$AO$289,41)</f>
        <v>#VALUE!</v>
      </c>
      <c r="I173" s="113" t="n">
        <v>0</v>
      </c>
      <c r="J173" s="114" t="e">
        <f aca="false">VLOOKUP($B173,Curve_Fetch,3)</f>
        <v>#VALUE!</v>
      </c>
      <c r="K173" s="121" t="n">
        <f aca="false">K172</f>
        <v>0</v>
      </c>
      <c r="L173" s="116" t="e">
        <f aca="false">IF(Control!$Y$26=Control!$X$27,J173,I173)+K173</f>
        <v>#VALUE!</v>
      </c>
      <c r="M173" s="113" t="n">
        <v>0</v>
      </c>
      <c r="N173" s="114" t="e">
        <f aca="false">VLOOKUP($B173,Curve_Fetch,VLOOKUP(Control!$AJ$10,Control!$AI$11:$AK$22,3))</f>
        <v>#VALUE!</v>
      </c>
      <c r="O173" s="121" t="n">
        <f aca="false">O172</f>
        <v>0</v>
      </c>
      <c r="P173" s="116" t="e">
        <f aca="false">IF(Control!$Y$31=Control!$X$32,N173,M173)+O173</f>
        <v>#VALUE!</v>
      </c>
      <c r="Q173" s="113" t="n">
        <v>0</v>
      </c>
      <c r="R173" s="114" t="e">
        <f aca="false">VLOOKUP($B173,Curve_Fetch,(VLOOKUP(Control!$AJ$10,Control!$AI$11:$AL$22,4)))</f>
        <v>#VALUE!</v>
      </c>
      <c r="S173" s="121" t="n">
        <f aca="false">S172</f>
        <v>0</v>
      </c>
      <c r="T173" s="116" t="e">
        <f aca="false">IF($C$11="Physical",IF(Control!$Y$37=Control!$X$38,R173,Q173)+S173,0)</f>
        <v>#VALUE!</v>
      </c>
      <c r="U173" s="117" t="e">
        <f aca="false">IF($C$11="Financial",L173+P173,L173+P173+T173)</f>
        <v>#VALUE!</v>
      </c>
      <c r="V173" s="114"/>
      <c r="W173" s="118" t="e">
        <f aca="false">VLOOKUP($B173,Model!$A$8:$S$289,19)</f>
        <v>#VALUE!</v>
      </c>
      <c r="X173" s="120" t="n">
        <f aca="false">X172</f>
        <v>0</v>
      </c>
      <c r="Y173" s="120" t="e">
        <f aca="false">W173+X173</f>
        <v>#VALUE!</v>
      </c>
      <c r="Z173" s="121" t="n">
        <f aca="false">Z172</f>
        <v>0</v>
      </c>
      <c r="AA173" s="121" t="e">
        <f aca="false">U173+Z173</f>
        <v>#VALUE!</v>
      </c>
      <c r="AB173" s="128" t="e">
        <f aca="false">EURO(U173,AA173,VLOOKUP($B173,Curve_Fetch,2),VLOOKUP($B173,Curve_Fetch,2),Y173,VLOOKUP($B173,Model!$A$8:$R$289,18),IF(Euro!$C$10="Call",1,0),0)</f>
        <v>#VALUE!</v>
      </c>
      <c r="AD173" s="123" t="e">
        <f aca="false">$G173*L173</f>
        <v>#VALUE!</v>
      </c>
      <c r="AE173" s="124" t="e">
        <f aca="false">$G173*P173</f>
        <v>#VALUE!</v>
      </c>
      <c r="AF173" s="124" t="e">
        <f aca="false">$G173*T173</f>
        <v>#VALUE!</v>
      </c>
      <c r="AG173" s="124" t="e">
        <f aca="false">$G173*U173</f>
        <v>#VALUE!</v>
      </c>
      <c r="AH173" s="124" t="e">
        <f aca="false">$G173*AA173</f>
        <v>#VALUE!</v>
      </c>
      <c r="AI173" s="125" t="e">
        <f aca="false">$F173*AB173</f>
        <v>#VALUE!</v>
      </c>
      <c r="AK173" s="0"/>
      <c r="AL173" s="0"/>
      <c r="AM173" s="0"/>
      <c r="AN173" s="0"/>
      <c r="AO173" s="0"/>
      <c r="AP173" s="0"/>
      <c r="AQ173" s="0"/>
      <c r="AR173" s="0"/>
    </row>
    <row r="174" customFormat="false" ht="12.75" hidden="false" customHeight="false" outlineLevel="0" collapsed="false">
      <c r="B174" s="108" t="e">
        <f aca="false">([1]!edate,B173,1)</f>
        <v>#VALUE!</v>
      </c>
      <c r="C174" s="109" t="e">
        <f aca="false">IF($C$11="Physical",B175+24,B175)</f>
        <v>#VALUE!</v>
      </c>
      <c r="D174" s="110" t="n">
        <v>0</v>
      </c>
      <c r="E174" s="111" t="e">
        <f aca="false">VLOOKUP($B174,Model!$A$8:$E$289,5)</f>
        <v>#VALUE!</v>
      </c>
      <c r="F174" s="111" t="e">
        <f aca="false">VLOOKUP($B174,Model!$A$8:$F$289,6)</f>
        <v>#VALUE!</v>
      </c>
      <c r="G174" s="127" t="e">
        <f aca="false">VLOOKUP($B174,Model!$A$8:$AO$289,41)</f>
        <v>#VALUE!</v>
      </c>
      <c r="I174" s="113" t="n">
        <v>0</v>
      </c>
      <c r="J174" s="114" t="e">
        <f aca="false">VLOOKUP($B174,Curve_Fetch,3)</f>
        <v>#VALUE!</v>
      </c>
      <c r="K174" s="121" t="n">
        <f aca="false">K173</f>
        <v>0</v>
      </c>
      <c r="L174" s="116" t="e">
        <f aca="false">IF(Control!$Y$26=Control!$X$27,J174,I174)+K174</f>
        <v>#VALUE!</v>
      </c>
      <c r="M174" s="113" t="n">
        <v>0</v>
      </c>
      <c r="N174" s="114" t="e">
        <f aca="false">VLOOKUP($B174,Curve_Fetch,VLOOKUP(Control!$AJ$10,Control!$AI$11:$AK$22,3))</f>
        <v>#VALUE!</v>
      </c>
      <c r="O174" s="121" t="n">
        <f aca="false">O173</f>
        <v>0</v>
      </c>
      <c r="P174" s="116" t="e">
        <f aca="false">IF(Control!$Y$31=Control!$X$32,N174,M174)+O174</f>
        <v>#VALUE!</v>
      </c>
      <c r="Q174" s="113" t="n">
        <v>0</v>
      </c>
      <c r="R174" s="114" t="e">
        <f aca="false">VLOOKUP($B174,Curve_Fetch,(VLOOKUP(Control!$AJ$10,Control!$AI$11:$AL$22,4)))</f>
        <v>#VALUE!</v>
      </c>
      <c r="S174" s="121" t="n">
        <f aca="false">S173</f>
        <v>0</v>
      </c>
      <c r="T174" s="116" t="e">
        <f aca="false">IF($C$11="Physical",IF(Control!$Y$37=Control!$X$38,R174,Q174)+S174,0)</f>
        <v>#VALUE!</v>
      </c>
      <c r="U174" s="117" t="e">
        <f aca="false">IF($C$11="Financial",L174+P174,L174+P174+T174)</f>
        <v>#VALUE!</v>
      </c>
      <c r="V174" s="114"/>
      <c r="W174" s="118" t="e">
        <f aca="false">VLOOKUP($B174,Model!$A$8:$S$289,19)</f>
        <v>#VALUE!</v>
      </c>
      <c r="X174" s="120" t="n">
        <f aca="false">X173</f>
        <v>0</v>
      </c>
      <c r="Y174" s="120" t="e">
        <f aca="false">W174+X174</f>
        <v>#VALUE!</v>
      </c>
      <c r="Z174" s="121" t="n">
        <f aca="false">Z173</f>
        <v>0</v>
      </c>
      <c r="AA174" s="121" t="e">
        <f aca="false">U174+Z174</f>
        <v>#VALUE!</v>
      </c>
      <c r="AB174" s="128" t="e">
        <f aca="false">EURO(U174,AA174,VLOOKUP($B174,Curve_Fetch,2),VLOOKUP($B174,Curve_Fetch,2),Y174,VLOOKUP($B174,Model!$A$8:$R$289,18),IF(Euro!$C$10="Call",1,0),0)</f>
        <v>#VALUE!</v>
      </c>
      <c r="AD174" s="123" t="e">
        <f aca="false">$G174*L174</f>
        <v>#VALUE!</v>
      </c>
      <c r="AE174" s="124" t="e">
        <f aca="false">$G174*P174</f>
        <v>#VALUE!</v>
      </c>
      <c r="AF174" s="124" t="e">
        <f aca="false">$G174*T174</f>
        <v>#VALUE!</v>
      </c>
      <c r="AG174" s="124" t="e">
        <f aca="false">$G174*U174</f>
        <v>#VALUE!</v>
      </c>
      <c r="AH174" s="124" t="e">
        <f aca="false">$G174*AA174</f>
        <v>#VALUE!</v>
      </c>
      <c r="AI174" s="125" t="e">
        <f aca="false">$F174*AB174</f>
        <v>#VALUE!</v>
      </c>
      <c r="AK174" s="0"/>
      <c r="AL174" s="0"/>
      <c r="AM174" s="0"/>
      <c r="AN174" s="0"/>
      <c r="AO174" s="0"/>
      <c r="AP174" s="0"/>
      <c r="AQ174" s="0"/>
      <c r="AR174" s="0"/>
    </row>
    <row r="175" customFormat="false" ht="12.75" hidden="false" customHeight="false" outlineLevel="0" collapsed="false">
      <c r="B175" s="108" t="e">
        <f aca="false">([1]!edate,B174,1)</f>
        <v>#VALUE!</v>
      </c>
      <c r="C175" s="109" t="e">
        <f aca="false">IF($C$11="Physical",B176+24,B176)</f>
        <v>#VALUE!</v>
      </c>
      <c r="D175" s="110" t="n">
        <v>0</v>
      </c>
      <c r="E175" s="111" t="e">
        <f aca="false">VLOOKUP($B175,Model!$A$8:$E$289,5)</f>
        <v>#VALUE!</v>
      </c>
      <c r="F175" s="111" t="e">
        <f aca="false">VLOOKUP($B175,Model!$A$8:$F$289,6)</f>
        <v>#VALUE!</v>
      </c>
      <c r="G175" s="127" t="e">
        <f aca="false">VLOOKUP($B175,Model!$A$8:$AO$289,41)</f>
        <v>#VALUE!</v>
      </c>
      <c r="I175" s="113" t="n">
        <v>0</v>
      </c>
      <c r="J175" s="114" t="e">
        <f aca="false">VLOOKUP($B175,Curve_Fetch,3)</f>
        <v>#VALUE!</v>
      </c>
      <c r="K175" s="121" t="n">
        <f aca="false">K174</f>
        <v>0</v>
      </c>
      <c r="L175" s="116" t="e">
        <f aca="false">IF(Control!$Y$26=Control!$X$27,J175,I175)+K175</f>
        <v>#VALUE!</v>
      </c>
      <c r="M175" s="113" t="n">
        <v>0</v>
      </c>
      <c r="N175" s="114" t="e">
        <f aca="false">VLOOKUP($B175,Curve_Fetch,VLOOKUP(Control!$AJ$10,Control!$AI$11:$AK$22,3))</f>
        <v>#VALUE!</v>
      </c>
      <c r="O175" s="121" t="n">
        <f aca="false">O174</f>
        <v>0</v>
      </c>
      <c r="P175" s="116" t="e">
        <f aca="false">IF(Control!$Y$31=Control!$X$32,N175,M175)+O175</f>
        <v>#VALUE!</v>
      </c>
      <c r="Q175" s="113" t="n">
        <v>0</v>
      </c>
      <c r="R175" s="114" t="e">
        <f aca="false">VLOOKUP($B175,Curve_Fetch,(VLOOKUP(Control!$AJ$10,Control!$AI$11:$AL$22,4)))</f>
        <v>#VALUE!</v>
      </c>
      <c r="S175" s="121" t="n">
        <f aca="false">S174</f>
        <v>0</v>
      </c>
      <c r="T175" s="116" t="e">
        <f aca="false">IF($C$11="Physical",IF(Control!$Y$37=Control!$X$38,R175,Q175)+S175,0)</f>
        <v>#VALUE!</v>
      </c>
      <c r="U175" s="117" t="e">
        <f aca="false">IF($C$11="Financial",L175+P175,L175+P175+T175)</f>
        <v>#VALUE!</v>
      </c>
      <c r="V175" s="114"/>
      <c r="W175" s="118" t="e">
        <f aca="false">VLOOKUP($B175,Model!$A$8:$S$289,19)</f>
        <v>#VALUE!</v>
      </c>
      <c r="X175" s="120" t="n">
        <f aca="false">X174</f>
        <v>0</v>
      </c>
      <c r="Y175" s="120" t="e">
        <f aca="false">W175+X175</f>
        <v>#VALUE!</v>
      </c>
      <c r="Z175" s="121" t="n">
        <f aca="false">Z174</f>
        <v>0</v>
      </c>
      <c r="AA175" s="121" t="e">
        <f aca="false">U175+Z175</f>
        <v>#VALUE!</v>
      </c>
      <c r="AB175" s="128" t="e">
        <f aca="false">EURO(U175,AA175,VLOOKUP($B175,Curve_Fetch,2),VLOOKUP($B175,Curve_Fetch,2),Y175,VLOOKUP($B175,Model!$A$8:$R$289,18),IF(Euro!$C$10="Call",1,0),0)</f>
        <v>#VALUE!</v>
      </c>
      <c r="AD175" s="123" t="e">
        <f aca="false">$G175*L175</f>
        <v>#VALUE!</v>
      </c>
      <c r="AE175" s="124" t="e">
        <f aca="false">$G175*P175</f>
        <v>#VALUE!</v>
      </c>
      <c r="AF175" s="124" t="e">
        <f aca="false">$G175*T175</f>
        <v>#VALUE!</v>
      </c>
      <c r="AG175" s="124" t="e">
        <f aca="false">$G175*U175</f>
        <v>#VALUE!</v>
      </c>
      <c r="AH175" s="124" t="e">
        <f aca="false">$G175*AA175</f>
        <v>#VALUE!</v>
      </c>
      <c r="AI175" s="125" t="e">
        <f aca="false">$F175*AB175</f>
        <v>#VALUE!</v>
      </c>
      <c r="AK175" s="0"/>
      <c r="AL175" s="0"/>
      <c r="AM175" s="0"/>
      <c r="AN175" s="0"/>
      <c r="AO175" s="0"/>
      <c r="AP175" s="0"/>
      <c r="AQ175" s="0"/>
      <c r="AR175" s="0"/>
    </row>
    <row r="176" customFormat="false" ht="12.75" hidden="false" customHeight="false" outlineLevel="0" collapsed="false">
      <c r="B176" s="108" t="e">
        <f aca="false">([1]!edate,B175,1)</f>
        <v>#VALUE!</v>
      </c>
      <c r="C176" s="109" t="e">
        <f aca="false">IF($C$11="Physical",B177+24,B177)</f>
        <v>#VALUE!</v>
      </c>
      <c r="D176" s="110" t="n">
        <v>0</v>
      </c>
      <c r="E176" s="111" t="e">
        <f aca="false">VLOOKUP($B176,Model!$A$8:$E$289,5)</f>
        <v>#VALUE!</v>
      </c>
      <c r="F176" s="111" t="e">
        <f aca="false">VLOOKUP($B176,Model!$A$8:$F$289,6)</f>
        <v>#VALUE!</v>
      </c>
      <c r="G176" s="127" t="e">
        <f aca="false">VLOOKUP($B176,Model!$A$8:$AO$289,41)</f>
        <v>#VALUE!</v>
      </c>
      <c r="I176" s="113" t="n">
        <v>0</v>
      </c>
      <c r="J176" s="114" t="e">
        <f aca="false">VLOOKUP($B176,Curve_Fetch,3)</f>
        <v>#VALUE!</v>
      </c>
      <c r="K176" s="121" t="n">
        <f aca="false">K175</f>
        <v>0</v>
      </c>
      <c r="L176" s="116" t="e">
        <f aca="false">IF(Control!$Y$26=Control!$X$27,J176,I176)+K176</f>
        <v>#VALUE!</v>
      </c>
      <c r="M176" s="113" t="n">
        <v>0</v>
      </c>
      <c r="N176" s="114" t="e">
        <f aca="false">VLOOKUP($B176,Curve_Fetch,VLOOKUP(Control!$AJ$10,Control!$AI$11:$AK$22,3))</f>
        <v>#VALUE!</v>
      </c>
      <c r="O176" s="121" t="n">
        <f aca="false">O175</f>
        <v>0</v>
      </c>
      <c r="P176" s="116" t="e">
        <f aca="false">IF(Control!$Y$31=Control!$X$32,N176,M176)+O176</f>
        <v>#VALUE!</v>
      </c>
      <c r="Q176" s="113" t="n">
        <v>0</v>
      </c>
      <c r="R176" s="114" t="e">
        <f aca="false">VLOOKUP($B176,Curve_Fetch,(VLOOKUP(Control!$AJ$10,Control!$AI$11:$AL$22,4)))</f>
        <v>#VALUE!</v>
      </c>
      <c r="S176" s="121" t="n">
        <f aca="false">S175</f>
        <v>0</v>
      </c>
      <c r="T176" s="116" t="e">
        <f aca="false">IF($C$11="Physical",IF(Control!$Y$37=Control!$X$38,R176,Q176)+S176,0)</f>
        <v>#VALUE!</v>
      </c>
      <c r="U176" s="117" t="e">
        <f aca="false">IF($C$11="Financial",L176+P176,L176+P176+T176)</f>
        <v>#VALUE!</v>
      </c>
      <c r="V176" s="114"/>
      <c r="W176" s="118" t="e">
        <f aca="false">VLOOKUP($B176,Model!$A$8:$S$289,19)</f>
        <v>#VALUE!</v>
      </c>
      <c r="X176" s="120" t="n">
        <f aca="false">X175</f>
        <v>0</v>
      </c>
      <c r="Y176" s="120" t="e">
        <f aca="false">W176+X176</f>
        <v>#VALUE!</v>
      </c>
      <c r="Z176" s="121" t="n">
        <f aca="false">Z175</f>
        <v>0</v>
      </c>
      <c r="AA176" s="121" t="e">
        <f aca="false">U176+Z176</f>
        <v>#VALUE!</v>
      </c>
      <c r="AB176" s="128" t="e">
        <f aca="false">EURO(U176,AA176,VLOOKUP($B176,Curve_Fetch,2),VLOOKUP($B176,Curve_Fetch,2),Y176,VLOOKUP($B176,Model!$A$8:$R$289,18),IF(Euro!$C$10="Call",1,0),0)</f>
        <v>#VALUE!</v>
      </c>
      <c r="AD176" s="123" t="e">
        <f aca="false">$G176*L176</f>
        <v>#VALUE!</v>
      </c>
      <c r="AE176" s="124" t="e">
        <f aca="false">$G176*P176</f>
        <v>#VALUE!</v>
      </c>
      <c r="AF176" s="124" t="e">
        <f aca="false">$G176*T176</f>
        <v>#VALUE!</v>
      </c>
      <c r="AG176" s="124" t="e">
        <f aca="false">$G176*U176</f>
        <v>#VALUE!</v>
      </c>
      <c r="AH176" s="124" t="e">
        <f aca="false">$G176*AA176</f>
        <v>#VALUE!</v>
      </c>
      <c r="AI176" s="125" t="e">
        <f aca="false">$F176*AB176</f>
        <v>#VALUE!</v>
      </c>
      <c r="AK176" s="0"/>
      <c r="AL176" s="0"/>
      <c r="AM176" s="0"/>
      <c r="AN176" s="0"/>
      <c r="AO176" s="0"/>
      <c r="AP176" s="0"/>
      <c r="AQ176" s="0"/>
      <c r="AR176" s="0"/>
    </row>
    <row r="177" customFormat="false" ht="12.75" hidden="false" customHeight="false" outlineLevel="0" collapsed="false">
      <c r="B177" s="108" t="e">
        <f aca="false">([1]!edate,B176,1)</f>
        <v>#VALUE!</v>
      </c>
      <c r="C177" s="109" t="e">
        <f aca="false">IF($C$11="Physical",B178+24,B178)</f>
        <v>#VALUE!</v>
      </c>
      <c r="D177" s="110" t="n">
        <v>0</v>
      </c>
      <c r="E177" s="111" t="e">
        <f aca="false">VLOOKUP($B177,Model!$A$8:$E$289,5)</f>
        <v>#VALUE!</v>
      </c>
      <c r="F177" s="111" t="e">
        <f aca="false">VLOOKUP($B177,Model!$A$8:$F$289,6)</f>
        <v>#VALUE!</v>
      </c>
      <c r="G177" s="127" t="e">
        <f aca="false">VLOOKUP($B177,Model!$A$8:$AO$289,41)</f>
        <v>#VALUE!</v>
      </c>
      <c r="I177" s="113" t="n">
        <v>0</v>
      </c>
      <c r="J177" s="114" t="e">
        <f aca="false">VLOOKUP($B177,Curve_Fetch,3)</f>
        <v>#VALUE!</v>
      </c>
      <c r="K177" s="121" t="n">
        <f aca="false">K176</f>
        <v>0</v>
      </c>
      <c r="L177" s="116" t="e">
        <f aca="false">IF(Control!$Y$26=Control!$X$27,J177,I177)+K177</f>
        <v>#VALUE!</v>
      </c>
      <c r="M177" s="113" t="n">
        <v>0</v>
      </c>
      <c r="N177" s="114" t="e">
        <f aca="false">VLOOKUP($B177,Curve_Fetch,VLOOKUP(Control!$AJ$10,Control!$AI$11:$AK$22,3))</f>
        <v>#VALUE!</v>
      </c>
      <c r="O177" s="121" t="n">
        <f aca="false">O176</f>
        <v>0</v>
      </c>
      <c r="P177" s="116" t="e">
        <f aca="false">IF(Control!$Y$31=Control!$X$32,N177,M177)+O177</f>
        <v>#VALUE!</v>
      </c>
      <c r="Q177" s="113" t="n">
        <v>0</v>
      </c>
      <c r="R177" s="114" t="e">
        <f aca="false">VLOOKUP($B177,Curve_Fetch,(VLOOKUP(Control!$AJ$10,Control!$AI$11:$AL$22,4)))</f>
        <v>#VALUE!</v>
      </c>
      <c r="S177" s="121" t="n">
        <f aca="false">S176</f>
        <v>0</v>
      </c>
      <c r="T177" s="116" t="e">
        <f aca="false">IF($C$11="Physical",IF(Control!$Y$37=Control!$X$38,R177,Q177)+S177,0)</f>
        <v>#VALUE!</v>
      </c>
      <c r="U177" s="117" t="e">
        <f aca="false">IF($C$11="Financial",L177+P177,L177+P177+T177)</f>
        <v>#VALUE!</v>
      </c>
      <c r="V177" s="114"/>
      <c r="W177" s="118" t="e">
        <f aca="false">VLOOKUP($B177,Model!$A$8:$S$289,19)</f>
        <v>#VALUE!</v>
      </c>
      <c r="X177" s="120" t="n">
        <f aca="false">X176</f>
        <v>0</v>
      </c>
      <c r="Y177" s="120" t="e">
        <f aca="false">W177+X177</f>
        <v>#VALUE!</v>
      </c>
      <c r="Z177" s="121" t="n">
        <f aca="false">Z176</f>
        <v>0</v>
      </c>
      <c r="AA177" s="121" t="e">
        <f aca="false">U177+Z177</f>
        <v>#VALUE!</v>
      </c>
      <c r="AB177" s="128" t="e">
        <f aca="false">EURO(U177,AA177,VLOOKUP($B177,Curve_Fetch,2),VLOOKUP($B177,Curve_Fetch,2),Y177,VLOOKUP($B177,Model!$A$8:$R$289,18),IF(Euro!$C$10="Call",1,0),0)</f>
        <v>#VALUE!</v>
      </c>
      <c r="AD177" s="123" t="e">
        <f aca="false">$G177*L177</f>
        <v>#VALUE!</v>
      </c>
      <c r="AE177" s="124" t="e">
        <f aca="false">$G177*P177</f>
        <v>#VALUE!</v>
      </c>
      <c r="AF177" s="124" t="e">
        <f aca="false">$G177*T177</f>
        <v>#VALUE!</v>
      </c>
      <c r="AG177" s="124" t="e">
        <f aca="false">$G177*U177</f>
        <v>#VALUE!</v>
      </c>
      <c r="AH177" s="124" t="e">
        <f aca="false">$G177*AA177</f>
        <v>#VALUE!</v>
      </c>
      <c r="AI177" s="125" t="e">
        <f aca="false">$F177*AB177</f>
        <v>#VALUE!</v>
      </c>
      <c r="AK177" s="0"/>
      <c r="AL177" s="0"/>
      <c r="AM177" s="0"/>
      <c r="AN177" s="0"/>
      <c r="AO177" s="0"/>
      <c r="AP177" s="0"/>
      <c r="AQ177" s="0"/>
      <c r="AR177" s="0"/>
    </row>
    <row r="178" customFormat="false" ht="12.75" hidden="false" customHeight="false" outlineLevel="0" collapsed="false">
      <c r="B178" s="108" t="e">
        <f aca="false">([1]!edate,B177,1)</f>
        <v>#VALUE!</v>
      </c>
      <c r="C178" s="109" t="e">
        <f aca="false">IF($C$11="Physical",B179+24,B179)</f>
        <v>#VALUE!</v>
      </c>
      <c r="D178" s="110" t="n">
        <v>0</v>
      </c>
      <c r="E178" s="111" t="e">
        <f aca="false">VLOOKUP($B178,Model!$A$8:$E$289,5)</f>
        <v>#VALUE!</v>
      </c>
      <c r="F178" s="111" t="e">
        <f aca="false">VLOOKUP($B178,Model!$A$8:$F$289,6)</f>
        <v>#VALUE!</v>
      </c>
      <c r="G178" s="127" t="e">
        <f aca="false">VLOOKUP($B178,Model!$A$8:$AO$289,41)</f>
        <v>#VALUE!</v>
      </c>
      <c r="I178" s="113" t="n">
        <v>0</v>
      </c>
      <c r="J178" s="114" t="e">
        <f aca="false">VLOOKUP($B178,Curve_Fetch,3)</f>
        <v>#VALUE!</v>
      </c>
      <c r="K178" s="121" t="n">
        <f aca="false">K177</f>
        <v>0</v>
      </c>
      <c r="L178" s="116" t="e">
        <f aca="false">IF(Control!$Y$26=Control!$X$27,J178,I178)+K178</f>
        <v>#VALUE!</v>
      </c>
      <c r="M178" s="113" t="n">
        <v>0</v>
      </c>
      <c r="N178" s="114" t="e">
        <f aca="false">VLOOKUP($B178,Curve_Fetch,VLOOKUP(Control!$AJ$10,Control!$AI$11:$AK$22,3))</f>
        <v>#VALUE!</v>
      </c>
      <c r="O178" s="121" t="n">
        <f aca="false">O177</f>
        <v>0</v>
      </c>
      <c r="P178" s="116" t="e">
        <f aca="false">IF(Control!$Y$31=Control!$X$32,N178,M178)+O178</f>
        <v>#VALUE!</v>
      </c>
      <c r="Q178" s="113" t="n">
        <v>0</v>
      </c>
      <c r="R178" s="114" t="e">
        <f aca="false">VLOOKUP($B178,Curve_Fetch,(VLOOKUP(Control!$AJ$10,Control!$AI$11:$AL$22,4)))</f>
        <v>#VALUE!</v>
      </c>
      <c r="S178" s="121" t="n">
        <f aca="false">S177</f>
        <v>0</v>
      </c>
      <c r="T178" s="116" t="e">
        <f aca="false">IF($C$11="Physical",IF(Control!$Y$37=Control!$X$38,R178,Q178)+S178,0)</f>
        <v>#VALUE!</v>
      </c>
      <c r="U178" s="117" t="e">
        <f aca="false">IF($C$11="Financial",L178+P178,L178+P178+T178)</f>
        <v>#VALUE!</v>
      </c>
      <c r="V178" s="114"/>
      <c r="W178" s="118" t="e">
        <f aca="false">VLOOKUP($B178,Model!$A$8:$S$289,19)</f>
        <v>#VALUE!</v>
      </c>
      <c r="X178" s="120" t="n">
        <f aca="false">X177</f>
        <v>0</v>
      </c>
      <c r="Y178" s="120" t="e">
        <f aca="false">W178+X178</f>
        <v>#VALUE!</v>
      </c>
      <c r="Z178" s="121" t="n">
        <f aca="false">Z177</f>
        <v>0</v>
      </c>
      <c r="AA178" s="121" t="e">
        <f aca="false">U178+Z178</f>
        <v>#VALUE!</v>
      </c>
      <c r="AB178" s="128" t="e">
        <f aca="false">EURO(U178,AA178,VLOOKUP($B178,Curve_Fetch,2),VLOOKUP($B178,Curve_Fetch,2),Y178,VLOOKUP($B178,Model!$A$8:$R$289,18),IF(Euro!$C$10="Call",1,0),0)</f>
        <v>#VALUE!</v>
      </c>
      <c r="AD178" s="123" t="e">
        <f aca="false">$G178*L178</f>
        <v>#VALUE!</v>
      </c>
      <c r="AE178" s="124" t="e">
        <f aca="false">$G178*P178</f>
        <v>#VALUE!</v>
      </c>
      <c r="AF178" s="124" t="e">
        <f aca="false">$G178*T178</f>
        <v>#VALUE!</v>
      </c>
      <c r="AG178" s="124" t="e">
        <f aca="false">$G178*U178</f>
        <v>#VALUE!</v>
      </c>
      <c r="AH178" s="124" t="e">
        <f aca="false">$G178*AA178</f>
        <v>#VALUE!</v>
      </c>
      <c r="AI178" s="125" t="e">
        <f aca="false">$F178*AB178</f>
        <v>#VALUE!</v>
      </c>
      <c r="AK178" s="0"/>
      <c r="AL178" s="0"/>
      <c r="AM178" s="0"/>
      <c r="AN178" s="0"/>
      <c r="AO178" s="0"/>
      <c r="AP178" s="0"/>
      <c r="AQ178" s="0"/>
      <c r="AR178" s="0"/>
    </row>
    <row r="179" customFormat="false" ht="12.75" hidden="false" customHeight="false" outlineLevel="0" collapsed="false">
      <c r="B179" s="108" t="e">
        <f aca="false">([1]!edate,B178,1)</f>
        <v>#VALUE!</v>
      </c>
      <c r="C179" s="109" t="e">
        <f aca="false">IF($C$11="Physical",B180+24,B180)</f>
        <v>#VALUE!</v>
      </c>
      <c r="D179" s="110" t="n">
        <v>0</v>
      </c>
      <c r="E179" s="111" t="e">
        <f aca="false">VLOOKUP($B179,Model!$A$8:$E$289,5)</f>
        <v>#VALUE!</v>
      </c>
      <c r="F179" s="111" t="e">
        <f aca="false">VLOOKUP($B179,Model!$A$8:$F$289,6)</f>
        <v>#VALUE!</v>
      </c>
      <c r="G179" s="127" t="e">
        <f aca="false">VLOOKUP($B179,Model!$A$8:$AO$289,41)</f>
        <v>#VALUE!</v>
      </c>
      <c r="I179" s="113" t="n">
        <v>0</v>
      </c>
      <c r="J179" s="114" t="e">
        <f aca="false">VLOOKUP($B179,Curve_Fetch,3)</f>
        <v>#VALUE!</v>
      </c>
      <c r="K179" s="121" t="n">
        <f aca="false">K178</f>
        <v>0</v>
      </c>
      <c r="L179" s="116" t="e">
        <f aca="false">IF(Control!$Y$26=Control!$X$27,J179,I179)+K179</f>
        <v>#VALUE!</v>
      </c>
      <c r="M179" s="113" t="n">
        <v>0</v>
      </c>
      <c r="N179" s="114" t="e">
        <f aca="false">VLOOKUP($B179,Curve_Fetch,VLOOKUP(Control!$AJ$10,Control!$AI$11:$AK$22,3))</f>
        <v>#VALUE!</v>
      </c>
      <c r="O179" s="121" t="n">
        <f aca="false">O178</f>
        <v>0</v>
      </c>
      <c r="P179" s="116" t="e">
        <f aca="false">IF(Control!$Y$31=Control!$X$32,N179,M179)+O179</f>
        <v>#VALUE!</v>
      </c>
      <c r="Q179" s="113" t="n">
        <v>0</v>
      </c>
      <c r="R179" s="114" t="e">
        <f aca="false">VLOOKUP($B179,Curve_Fetch,(VLOOKUP(Control!$AJ$10,Control!$AI$11:$AL$22,4)))</f>
        <v>#VALUE!</v>
      </c>
      <c r="S179" s="121" t="n">
        <f aca="false">S178</f>
        <v>0</v>
      </c>
      <c r="T179" s="116" t="e">
        <f aca="false">IF($C$11="Physical",IF(Control!$Y$37=Control!$X$38,R179,Q179)+S179,0)</f>
        <v>#VALUE!</v>
      </c>
      <c r="U179" s="117" t="e">
        <f aca="false">IF($C$11="Financial",L179+P179,L179+P179+T179)</f>
        <v>#VALUE!</v>
      </c>
      <c r="V179" s="114"/>
      <c r="W179" s="118" t="e">
        <f aca="false">VLOOKUP($B179,Model!$A$8:$S$289,19)</f>
        <v>#VALUE!</v>
      </c>
      <c r="X179" s="120" t="n">
        <f aca="false">X178</f>
        <v>0</v>
      </c>
      <c r="Y179" s="120" t="e">
        <f aca="false">W179+X179</f>
        <v>#VALUE!</v>
      </c>
      <c r="Z179" s="121" t="n">
        <f aca="false">Z178</f>
        <v>0</v>
      </c>
      <c r="AA179" s="121" t="e">
        <f aca="false">U179+Z179</f>
        <v>#VALUE!</v>
      </c>
      <c r="AB179" s="128" t="e">
        <f aca="false">EURO(U179,AA179,VLOOKUP($B179,Curve_Fetch,2),VLOOKUP($B179,Curve_Fetch,2),Y179,VLOOKUP($B179,Model!$A$8:$R$289,18),IF(Euro!$C$10="Call",1,0),0)</f>
        <v>#VALUE!</v>
      </c>
      <c r="AD179" s="123" t="e">
        <f aca="false">$G179*L179</f>
        <v>#VALUE!</v>
      </c>
      <c r="AE179" s="124" t="e">
        <f aca="false">$G179*P179</f>
        <v>#VALUE!</v>
      </c>
      <c r="AF179" s="124" t="e">
        <f aca="false">$G179*T179</f>
        <v>#VALUE!</v>
      </c>
      <c r="AG179" s="124" t="e">
        <f aca="false">$G179*U179</f>
        <v>#VALUE!</v>
      </c>
      <c r="AH179" s="124" t="e">
        <f aca="false">$G179*AA179</f>
        <v>#VALUE!</v>
      </c>
      <c r="AI179" s="125" t="e">
        <f aca="false">$F179*AB179</f>
        <v>#VALUE!</v>
      </c>
      <c r="AK179" s="0"/>
      <c r="AL179" s="0"/>
      <c r="AM179" s="0"/>
      <c r="AN179" s="0"/>
      <c r="AO179" s="0"/>
      <c r="AP179" s="0"/>
      <c r="AQ179" s="0"/>
      <c r="AR179" s="0"/>
    </row>
    <row r="180" customFormat="false" ht="12.75" hidden="false" customHeight="false" outlineLevel="0" collapsed="false">
      <c r="B180" s="108" t="e">
        <f aca="false">([1]!edate,B179,1)</f>
        <v>#VALUE!</v>
      </c>
      <c r="C180" s="109" t="e">
        <f aca="false">IF($C$11="Physical",B181+24,B181)</f>
        <v>#VALUE!</v>
      </c>
      <c r="D180" s="110" t="n">
        <v>0</v>
      </c>
      <c r="E180" s="111" t="e">
        <f aca="false">VLOOKUP($B180,Model!$A$8:$E$289,5)</f>
        <v>#VALUE!</v>
      </c>
      <c r="F180" s="111" t="e">
        <f aca="false">VLOOKUP($B180,Model!$A$8:$F$289,6)</f>
        <v>#VALUE!</v>
      </c>
      <c r="G180" s="127" t="e">
        <f aca="false">VLOOKUP($B180,Model!$A$8:$AO$289,41)</f>
        <v>#VALUE!</v>
      </c>
      <c r="I180" s="113" t="n">
        <v>0</v>
      </c>
      <c r="J180" s="114" t="e">
        <f aca="false">VLOOKUP($B180,Curve_Fetch,3)</f>
        <v>#VALUE!</v>
      </c>
      <c r="K180" s="121" t="n">
        <f aca="false">K179</f>
        <v>0</v>
      </c>
      <c r="L180" s="116" t="e">
        <f aca="false">IF(Control!$Y$26=Control!$X$27,J180,I180)+K180</f>
        <v>#VALUE!</v>
      </c>
      <c r="M180" s="113" t="n">
        <v>0</v>
      </c>
      <c r="N180" s="114" t="e">
        <f aca="false">VLOOKUP($B180,Curve_Fetch,VLOOKUP(Control!$AJ$10,Control!$AI$11:$AK$22,3))</f>
        <v>#VALUE!</v>
      </c>
      <c r="O180" s="121" t="n">
        <f aca="false">O179</f>
        <v>0</v>
      </c>
      <c r="P180" s="116" t="e">
        <f aca="false">IF(Control!$Y$31=Control!$X$32,N180,M180)+O180</f>
        <v>#VALUE!</v>
      </c>
      <c r="Q180" s="113" t="n">
        <v>0</v>
      </c>
      <c r="R180" s="114" t="e">
        <f aca="false">VLOOKUP($B180,Curve_Fetch,(VLOOKUP(Control!$AJ$10,Control!$AI$11:$AL$22,4)))</f>
        <v>#VALUE!</v>
      </c>
      <c r="S180" s="121" t="n">
        <f aca="false">S179</f>
        <v>0</v>
      </c>
      <c r="T180" s="116" t="e">
        <f aca="false">IF($C$11="Physical",IF(Control!$Y$37=Control!$X$38,R180,Q180)+S180,0)</f>
        <v>#VALUE!</v>
      </c>
      <c r="U180" s="117" t="e">
        <f aca="false">IF($C$11="Financial",L180+P180,L180+P180+T180)</f>
        <v>#VALUE!</v>
      </c>
      <c r="V180" s="114"/>
      <c r="W180" s="118" t="e">
        <f aca="false">VLOOKUP($B180,Model!$A$8:$S$289,19)</f>
        <v>#VALUE!</v>
      </c>
      <c r="X180" s="120" t="n">
        <f aca="false">X179</f>
        <v>0</v>
      </c>
      <c r="Y180" s="120" t="e">
        <f aca="false">W180+X180</f>
        <v>#VALUE!</v>
      </c>
      <c r="Z180" s="121" t="n">
        <f aca="false">Z179</f>
        <v>0</v>
      </c>
      <c r="AA180" s="121" t="e">
        <f aca="false">U180+Z180</f>
        <v>#VALUE!</v>
      </c>
      <c r="AB180" s="128" t="e">
        <f aca="false">EURO(U180,AA180,VLOOKUP($B180,Curve_Fetch,2),VLOOKUP($B180,Curve_Fetch,2),Y180,VLOOKUP($B180,Model!$A$8:$R$289,18),IF(Euro!$C$10="Call",1,0),0)</f>
        <v>#VALUE!</v>
      </c>
      <c r="AD180" s="123" t="e">
        <f aca="false">$G180*L180</f>
        <v>#VALUE!</v>
      </c>
      <c r="AE180" s="124" t="e">
        <f aca="false">$G180*P180</f>
        <v>#VALUE!</v>
      </c>
      <c r="AF180" s="124" t="e">
        <f aca="false">$G180*T180</f>
        <v>#VALUE!</v>
      </c>
      <c r="AG180" s="124" t="e">
        <f aca="false">$G180*U180</f>
        <v>#VALUE!</v>
      </c>
      <c r="AH180" s="124" t="e">
        <f aca="false">$G180*AA180</f>
        <v>#VALUE!</v>
      </c>
      <c r="AI180" s="125" t="e">
        <f aca="false">$F180*AB180</f>
        <v>#VALUE!</v>
      </c>
      <c r="AK180" s="0"/>
      <c r="AL180" s="0"/>
      <c r="AM180" s="0"/>
      <c r="AN180" s="0"/>
      <c r="AO180" s="0"/>
      <c r="AP180" s="0"/>
      <c r="AQ180" s="0"/>
      <c r="AR180" s="0"/>
    </row>
    <row r="181" customFormat="false" ht="12.75" hidden="false" customHeight="false" outlineLevel="0" collapsed="false">
      <c r="B181" s="108" t="e">
        <f aca="false">([1]!edate,B180,1)</f>
        <v>#VALUE!</v>
      </c>
      <c r="C181" s="109" t="e">
        <f aca="false">IF($C$11="Physical",B182+24,B182)</f>
        <v>#VALUE!</v>
      </c>
      <c r="D181" s="110" t="n">
        <v>0</v>
      </c>
      <c r="E181" s="111" t="e">
        <f aca="false">VLOOKUP($B181,Model!$A$8:$E$289,5)</f>
        <v>#VALUE!</v>
      </c>
      <c r="F181" s="111" t="e">
        <f aca="false">VLOOKUP($B181,Model!$A$8:$F$289,6)</f>
        <v>#VALUE!</v>
      </c>
      <c r="G181" s="127" t="e">
        <f aca="false">VLOOKUP($B181,Model!$A$8:$AO$289,41)</f>
        <v>#VALUE!</v>
      </c>
      <c r="I181" s="113" t="n">
        <v>0</v>
      </c>
      <c r="J181" s="114" t="e">
        <f aca="false">VLOOKUP($B181,Curve_Fetch,3)</f>
        <v>#VALUE!</v>
      </c>
      <c r="K181" s="121" t="n">
        <f aca="false">K180</f>
        <v>0</v>
      </c>
      <c r="L181" s="116" t="e">
        <f aca="false">IF(Control!$Y$26=Control!$X$27,J181,I181)+K181</f>
        <v>#VALUE!</v>
      </c>
      <c r="M181" s="113" t="n">
        <v>0</v>
      </c>
      <c r="N181" s="114" t="e">
        <f aca="false">VLOOKUP($B181,Curve_Fetch,VLOOKUP(Control!$AJ$10,Control!$AI$11:$AK$22,3))</f>
        <v>#VALUE!</v>
      </c>
      <c r="O181" s="121" t="n">
        <f aca="false">O180</f>
        <v>0</v>
      </c>
      <c r="P181" s="116" t="e">
        <f aca="false">IF(Control!$Y$31=Control!$X$32,N181,M181)+O181</f>
        <v>#VALUE!</v>
      </c>
      <c r="Q181" s="113" t="n">
        <v>0</v>
      </c>
      <c r="R181" s="114" t="e">
        <f aca="false">VLOOKUP($B181,Curve_Fetch,(VLOOKUP(Control!$AJ$10,Control!$AI$11:$AL$22,4)))</f>
        <v>#VALUE!</v>
      </c>
      <c r="S181" s="121" t="n">
        <f aca="false">S180</f>
        <v>0</v>
      </c>
      <c r="T181" s="116" t="e">
        <f aca="false">IF($C$11="Physical",IF(Control!$Y$37=Control!$X$38,R181,Q181)+S181,0)</f>
        <v>#VALUE!</v>
      </c>
      <c r="U181" s="117" t="e">
        <f aca="false">IF($C$11="Financial",L181+P181,L181+P181+T181)</f>
        <v>#VALUE!</v>
      </c>
      <c r="V181" s="114"/>
      <c r="W181" s="118" t="e">
        <f aca="false">VLOOKUP($B181,Model!$A$8:$S$289,19)</f>
        <v>#VALUE!</v>
      </c>
      <c r="X181" s="120" t="n">
        <f aca="false">X180</f>
        <v>0</v>
      </c>
      <c r="Y181" s="120" t="e">
        <f aca="false">W181+X181</f>
        <v>#VALUE!</v>
      </c>
      <c r="Z181" s="121" t="n">
        <f aca="false">Z180</f>
        <v>0</v>
      </c>
      <c r="AA181" s="121" t="e">
        <f aca="false">U181+Z181</f>
        <v>#VALUE!</v>
      </c>
      <c r="AB181" s="128" t="e">
        <f aca="false">EURO(U181,AA181,VLOOKUP($B181,Curve_Fetch,2),VLOOKUP($B181,Curve_Fetch,2),Y181,VLOOKUP($B181,Model!$A$8:$R$289,18),IF(Euro!$C$10="Call",1,0),0)</f>
        <v>#VALUE!</v>
      </c>
      <c r="AD181" s="123" t="e">
        <f aca="false">$G181*L181</f>
        <v>#VALUE!</v>
      </c>
      <c r="AE181" s="124" t="e">
        <f aca="false">$G181*P181</f>
        <v>#VALUE!</v>
      </c>
      <c r="AF181" s="124" t="e">
        <f aca="false">$G181*T181</f>
        <v>#VALUE!</v>
      </c>
      <c r="AG181" s="124" t="e">
        <f aca="false">$G181*U181</f>
        <v>#VALUE!</v>
      </c>
      <c r="AH181" s="124" t="e">
        <f aca="false">$G181*AA181</f>
        <v>#VALUE!</v>
      </c>
      <c r="AI181" s="125" t="e">
        <f aca="false">$F181*AB181</f>
        <v>#VALUE!</v>
      </c>
      <c r="AK181" s="0"/>
      <c r="AL181" s="0"/>
      <c r="AM181" s="0"/>
      <c r="AN181" s="0"/>
      <c r="AO181" s="0"/>
      <c r="AP181" s="0"/>
      <c r="AQ181" s="0"/>
      <c r="AR181" s="0"/>
    </row>
    <row r="182" customFormat="false" ht="12.75" hidden="false" customHeight="false" outlineLevel="0" collapsed="false">
      <c r="B182" s="108" t="e">
        <f aca="false">([1]!edate,B181,1)</f>
        <v>#VALUE!</v>
      </c>
      <c r="C182" s="109" t="e">
        <f aca="false">IF($C$11="Physical",B183+24,B183)</f>
        <v>#VALUE!</v>
      </c>
      <c r="D182" s="110" t="n">
        <v>0</v>
      </c>
      <c r="E182" s="111" t="e">
        <f aca="false">VLOOKUP($B182,Model!$A$8:$E$289,5)</f>
        <v>#VALUE!</v>
      </c>
      <c r="F182" s="111" t="e">
        <f aca="false">VLOOKUP($B182,Model!$A$8:$F$289,6)</f>
        <v>#VALUE!</v>
      </c>
      <c r="G182" s="127" t="e">
        <f aca="false">VLOOKUP($B182,Model!$A$8:$AO$289,41)</f>
        <v>#VALUE!</v>
      </c>
      <c r="I182" s="113" t="n">
        <v>0</v>
      </c>
      <c r="J182" s="114" t="e">
        <f aca="false">VLOOKUP($B182,Curve_Fetch,3)</f>
        <v>#VALUE!</v>
      </c>
      <c r="K182" s="129" t="n">
        <f aca="false">K181</f>
        <v>0</v>
      </c>
      <c r="L182" s="130" t="e">
        <f aca="false">IF(Control!$Y$26=Control!$X$27,J182,I182)+K182</f>
        <v>#VALUE!</v>
      </c>
      <c r="M182" s="113" t="n">
        <v>0</v>
      </c>
      <c r="N182" s="114" t="e">
        <f aca="false">VLOOKUP($B182,Curve_Fetch,VLOOKUP(Control!$AJ$10,Control!$AI$11:$AK$22,3))</f>
        <v>#VALUE!</v>
      </c>
      <c r="O182" s="129" t="n">
        <f aca="false">O181</f>
        <v>0</v>
      </c>
      <c r="P182" s="130" t="e">
        <f aca="false">IF(Control!$Y$31=Control!$X$32,N182,M182)+O182</f>
        <v>#VALUE!</v>
      </c>
      <c r="Q182" s="113" t="n">
        <v>0</v>
      </c>
      <c r="R182" s="114" t="e">
        <f aca="false">VLOOKUP($B182,Curve_Fetch,(VLOOKUP(Control!$AJ$10,Control!$AI$11:$AL$22,4)))</f>
        <v>#VALUE!</v>
      </c>
      <c r="S182" s="129" t="n">
        <f aca="false">S181</f>
        <v>0</v>
      </c>
      <c r="T182" s="130" t="e">
        <f aca="false">IF($C$11="Physical",IF(Control!$Y$37=Control!$X$38,R182,Q182)+S182,0)</f>
        <v>#VALUE!</v>
      </c>
      <c r="U182" s="131" t="e">
        <f aca="false">IF($C$11="Financial",L182+P182,L182+P182+T182)</f>
        <v>#VALUE!</v>
      </c>
      <c r="V182" s="114"/>
      <c r="W182" s="132" t="e">
        <f aca="false">VLOOKUP($B182,Model!$A$8:$S$289,19)</f>
        <v>#VALUE!</v>
      </c>
      <c r="X182" s="133" t="n">
        <f aca="false">X181</f>
        <v>0</v>
      </c>
      <c r="Y182" s="133" t="e">
        <f aca="false">W182+X182</f>
        <v>#VALUE!</v>
      </c>
      <c r="Z182" s="129" t="n">
        <f aca="false">Z181</f>
        <v>0</v>
      </c>
      <c r="AA182" s="121" t="e">
        <f aca="false">U182+Z182</f>
        <v>#VALUE!</v>
      </c>
      <c r="AB182" s="128" t="e">
        <f aca="false">EURO(U182,AA182,VLOOKUP($B182,Curve_Fetch,2),VLOOKUP($B182,Curve_Fetch,2),Y182,VLOOKUP($B182,Model!$A$8:$R$289,18),IF(Euro!$C$10="Call",1,0),0)</f>
        <v>#VALUE!</v>
      </c>
      <c r="AD182" s="123" t="e">
        <f aca="false">$G182*L182</f>
        <v>#VALUE!</v>
      </c>
      <c r="AE182" s="124" t="e">
        <f aca="false">$G182*P182</f>
        <v>#VALUE!</v>
      </c>
      <c r="AF182" s="124" t="e">
        <f aca="false">$G182*T182</f>
        <v>#VALUE!</v>
      </c>
      <c r="AG182" s="124" t="e">
        <f aca="false">$G182*U182</f>
        <v>#VALUE!</v>
      </c>
      <c r="AH182" s="124" t="e">
        <f aca="false">$G182*AA182</f>
        <v>#VALUE!</v>
      </c>
      <c r="AI182" s="134" t="e">
        <f aca="false">$F182*AB182</f>
        <v>#VALUE!</v>
      </c>
      <c r="AK182" s="0"/>
      <c r="AL182" s="0"/>
      <c r="AM182" s="0"/>
      <c r="AN182" s="0"/>
      <c r="AO182" s="0"/>
      <c r="AP182" s="0"/>
      <c r="AQ182" s="0"/>
      <c r="AR182" s="0"/>
    </row>
    <row r="183" customFormat="false" ht="12.75" hidden="false" customHeight="false" outlineLevel="0" collapsed="false">
      <c r="B183" s="108" t="e">
        <f aca="false">([1]!edate,B182,1)</f>
        <v>#VALUE!</v>
      </c>
      <c r="C183" s="109"/>
      <c r="D183" s="109"/>
      <c r="E183" s="135"/>
      <c r="F183" s="135"/>
    </row>
    <row r="184" customFormat="false" ht="12.75" hidden="false" customHeight="false" outlineLevel="0" collapsed="false">
      <c r="B184" s="108"/>
      <c r="C184" s="109"/>
      <c r="D184" s="109"/>
      <c r="E184" s="135"/>
      <c r="F184" s="135"/>
    </row>
    <row r="185" customFormat="false" ht="12.75" hidden="false" customHeight="false" outlineLevel="0" collapsed="false">
      <c r="B185" s="108"/>
      <c r="C185" s="109"/>
      <c r="D185" s="109"/>
      <c r="E185" s="135"/>
      <c r="F185" s="135"/>
    </row>
    <row r="186" customFormat="false" ht="12.75" hidden="false" customHeight="false" outlineLevel="0" collapsed="false">
      <c r="B186" s="108"/>
      <c r="C186" s="109"/>
      <c r="D186" s="109"/>
      <c r="E186" s="135"/>
      <c r="F186" s="135"/>
    </row>
    <row r="187" customFormat="false" ht="12.75" hidden="false" customHeight="false" outlineLevel="0" collapsed="false">
      <c r="B187" s="108"/>
      <c r="C187" s="109"/>
      <c r="D187" s="109"/>
      <c r="E187" s="135"/>
      <c r="F187" s="135"/>
    </row>
  </sheetData>
  <mergeCells count="5">
    <mergeCell ref="U6:AD7"/>
    <mergeCell ref="D23:G23"/>
    <mergeCell ref="I23:U23"/>
    <mergeCell ref="W23:AB23"/>
    <mergeCell ref="AD23:AI23"/>
  </mergeCells>
  <conditionalFormatting sqref="D29:D182">
    <cfRule type="expression" priority="2" aboveAverage="0" equalAverage="0" bottom="0" percent="0" rank="0" text="" dxfId="0">
      <formula>$F$24="Flat"</formula>
    </cfRule>
    <cfRule type="expression" priority="3" aboveAverage="0" equalAverage="0" bottom="0" percent="0" rank="0" text="" dxfId="1">
      <formula>$F$24=#NAME?</formula>
    </cfRule>
  </conditionalFormatting>
  <conditionalFormatting sqref="D28">
    <cfRule type="expression" priority="4" aboveAverage="0" equalAverage="0" bottom="0" percent="0" rank="0" text="" dxfId="2">
      <formula>$F$24="Flat"</formula>
    </cfRule>
  </conditionalFormatting>
  <conditionalFormatting sqref="D25:E25 G25">
    <cfRule type="expression" priority="5" aboveAverage="0" equalAverage="0" bottom="0" percent="0" rank="0" text="" dxfId="3">
      <formula>$F$24="Custom"</formula>
    </cfRule>
    <cfRule type="expression" priority="6" aboveAverage="0" equalAverage="0" bottom="0" percent="0" rank="0" text="" dxfId="4">
      <formula>$F$24="Custom"</formula>
    </cfRule>
  </conditionalFormatting>
  <conditionalFormatting sqref="F25">
    <cfRule type="expression" priority="7" aboveAverage="0" equalAverage="0" bottom="0" percent="0" rank="0" text="" dxfId="5">
      <formula>$F$24="Custom"</formula>
    </cfRule>
    <cfRule type="expression" priority="8" aboveAverage="0" equalAverage="0" bottom="0" percent="0" rank="0" text="" dxfId="6">
      <formula>$F$24="Flat"</formula>
    </cfRule>
  </conditionalFormatting>
  <conditionalFormatting sqref="I29:I182">
    <cfRule type="expression" priority="9" aboveAverage="0" equalAverage="0" bottom="0" percent="0" rank="0" text="" dxfId="7">
      <formula>$I$27=2</formula>
    </cfRule>
    <cfRule type="expression" priority="10" aboveAverage="0" equalAverage="0" bottom="0" percent="0" rank="0" text="" dxfId="8">
      <formula>I$27=1</formula>
    </cfRule>
  </conditionalFormatting>
  <conditionalFormatting sqref="I28 M28 Q28">
    <cfRule type="expression" priority="11" aboveAverage="0" equalAverage="0" bottom="0" percent="0" rank="0" text="" dxfId="9">
      <formula>I$27=1</formula>
    </cfRule>
  </conditionalFormatting>
  <conditionalFormatting sqref="J28 N28 R28">
    <cfRule type="expression" priority="12" aboveAverage="0" equalAverage="0" bottom="0" percent="0" rank="0" text="" dxfId="10">
      <formula>I$27=2</formula>
    </cfRule>
  </conditionalFormatting>
  <conditionalFormatting sqref="J29:J182 N29:N182">
    <cfRule type="expression" priority="13" aboveAverage="0" equalAverage="0" bottom="0" percent="0" rank="0" text="" dxfId="11">
      <formula>I$27=2</formula>
    </cfRule>
  </conditionalFormatting>
  <conditionalFormatting sqref="M29:M182">
    <cfRule type="expression" priority="14" aboveAverage="0" equalAverage="0" bottom="0" percent="0" rank="0" text="" dxfId="12">
      <formula>M$27=2</formula>
    </cfRule>
    <cfRule type="expression" priority="15" aboveAverage="0" equalAverage="0" bottom="0" percent="0" rank="0" text="" dxfId="13">
      <formula>M$27=1</formula>
    </cfRule>
  </conditionalFormatting>
  <conditionalFormatting sqref="S29:T182">
    <cfRule type="expression" priority="16" aboveAverage="0" equalAverage="0" bottom="0" percent="0" rank="0" text="" dxfId="14">
      <formula>$C$11="Financial"</formula>
    </cfRule>
  </conditionalFormatting>
  <conditionalFormatting sqref="T26:T27">
    <cfRule type="expression" priority="17" aboveAverage="0" equalAverage="0" bottom="0" percent="0" rank="0" text="" dxfId="15">
      <formula>$C$11="Financial"</formula>
    </cfRule>
    <cfRule type="expression" priority="18" aboveAverage="0" equalAverage="0" bottom="0" percent="0" rank="0" text="" dxfId="16">
      <formula>$C$11="Physical"</formula>
    </cfRule>
  </conditionalFormatting>
  <conditionalFormatting sqref="R29:R182">
    <cfRule type="expression" priority="19" aboveAverage="0" equalAverage="0" bottom="0" percent="0" rank="0" text="" dxfId="17">
      <formula>$C$11="Financial"</formula>
    </cfRule>
    <cfRule type="expression" priority="20" aboveAverage="0" equalAverage="0" bottom="0" percent="0" rank="0" text="" dxfId="18">
      <formula>$Q$26=2</formula>
    </cfRule>
  </conditionalFormatting>
  <conditionalFormatting sqref="Q29:Q182">
    <cfRule type="expression" priority="21" aboveAverage="0" equalAverage="0" bottom="0" percent="0" rank="0" text="" dxfId="19">
      <formula>$C$11="Financial"</formula>
    </cfRule>
    <cfRule type="expression" priority="22" aboveAverage="0" equalAverage="0" bottom="0" percent="0" rank="0" text="" dxfId="20">
      <formula>$Q$26=1</formula>
    </cfRule>
  </conditionalFormatting>
  <conditionalFormatting sqref="I7">
    <cfRule type="expression" priority="23" aboveAverage="0" equalAverage="0" bottom="0" percent="0" rank="0" text="" dxfId="21">
      <formula>$I$7="WARNING FLAGS:"</formula>
    </cfRule>
  </conditionalFormatting>
  <dataValidations count="3">
    <dataValidation allowBlank="true" errorStyle="stop" operator="between" showDropDown="false" showErrorMessage="true" showInputMessage="false" sqref="C11" type="list">
      <formula1>$BB$11:$BB$12</formula1>
      <formula2>0</formula2>
    </dataValidation>
    <dataValidation allowBlank="true" errorStyle="stop" operator="between" showDropDown="false" showErrorMessage="true" showInputMessage="false" sqref="C10" type="list">
      <formula1>$BB$15:$BB$16</formula1>
      <formula2>0</formula2>
    </dataValidation>
    <dataValidation allowBlank="true" errorStyle="stop" operator="between" showDropDown="false" showErrorMessage="true" showInputMessage="false" sqref="F24" type="list">
      <formula1>$BB$18:$BB$19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0">
              <controlPr defaultSize="0" print="true" autoFill="0" autoPict="0" macro="Module1.CurveFetch">
                <anchor moveWithCells="true" sizeWithCells="false">
                  <from>
                    <xdr:col>1</xdr:col>
                    <xdr:colOff>81000</xdr:colOff>
                    <xdr:row>14</xdr:row>
                    <xdr:rowOff>66240</xdr:rowOff>
                  </from>
                  <to>
                    <xdr:col>3</xdr:col>
                    <xdr:colOff>504000</xdr:colOff>
                    <xdr:row>17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N6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2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2.7"/>
    <col collapsed="false" customWidth="true" hidden="false" outlineLevel="0" max="3" min="3" style="0" width="18.56"/>
    <col collapsed="false" customWidth="true" hidden="false" outlineLevel="0" max="5" min="5" style="0" width="22.7"/>
    <col collapsed="false" customWidth="true" hidden="false" outlineLevel="0" max="6" min="6" style="0" width="18.56"/>
    <col collapsed="false" customWidth="true" hidden="false" outlineLevel="0" max="7" min="7" style="0" width="3.99"/>
    <col collapsed="false" customWidth="true" hidden="false" outlineLevel="0" max="8" min="8" style="0" width="2.99"/>
    <col collapsed="false" customWidth="true" hidden="false" outlineLevel="0" max="9" min="9" style="0" width="23.56"/>
    <col collapsed="false" customWidth="true" hidden="false" outlineLevel="0" max="10" min="10" style="0" width="13.28"/>
    <col collapsed="false" customWidth="true" hidden="false" outlineLevel="0" max="13" min="13" style="0" width="16.84"/>
    <col collapsed="false" customWidth="true" hidden="false" outlineLevel="0" max="25" min="25" style="0" width="10.71"/>
  </cols>
  <sheetData>
    <row r="2" customFormat="false" ht="12.75" hidden="false" customHeight="false" outlineLevel="0" collapsed="false">
      <c r="B2" s="136" t="s">
        <v>56</v>
      </c>
      <c r="C2" s="136"/>
      <c r="D2" s="136"/>
      <c r="E2" s="136"/>
      <c r="F2" s="136"/>
      <c r="I2" s="136" t="s">
        <v>57</v>
      </c>
      <c r="J2" s="136"/>
    </row>
    <row r="3" customFormat="false" ht="12.75" hidden="false" customHeight="false" outlineLevel="0" collapsed="false">
      <c r="B3" s="137" t="s">
        <v>58</v>
      </c>
      <c r="C3" s="138" t="e">
        <f aca="false">Model!AO7</f>
        <v>#VALUE!</v>
      </c>
      <c r="D3" s="4"/>
      <c r="E3" s="137" t="s">
        <v>59</v>
      </c>
      <c r="F3" s="139" t="e">
        <f aca="false">F10-C10</f>
        <v>#VALUE!</v>
      </c>
      <c r="I3" s="140" t="s">
        <v>60</v>
      </c>
      <c r="J3" s="141" t="n">
        <f aca="false">Start_Date</f>
        <v>37226</v>
      </c>
      <c r="K3" s="61"/>
      <c r="L3" s="61"/>
      <c r="M3" s="61"/>
      <c r="N3" s="61"/>
      <c r="O3" s="61"/>
      <c r="P3" s="61"/>
      <c r="Q3" s="61"/>
      <c r="R3" s="61"/>
      <c r="U3" s="27" t="s">
        <v>61</v>
      </c>
    </row>
    <row r="4" customFormat="false" ht="12.75" hidden="false" customHeight="false" outlineLevel="0" collapsed="false">
      <c r="B4" s="137"/>
      <c r="C4" s="142"/>
      <c r="D4" s="4"/>
      <c r="E4" s="137" t="s">
        <v>62</v>
      </c>
      <c r="F4" s="143" t="e">
        <f aca="false">F3*C3</f>
        <v>#VALUE!</v>
      </c>
      <c r="I4" s="140" t="s">
        <v>63</v>
      </c>
      <c r="J4" s="62" t="n">
        <v>29</v>
      </c>
      <c r="K4" s="141"/>
      <c r="L4" s="61"/>
      <c r="M4" s="61"/>
      <c r="N4" s="61"/>
      <c r="O4" s="61"/>
      <c r="P4" s="61"/>
      <c r="Q4" s="61"/>
      <c r="R4" s="61"/>
    </row>
    <row r="5" customFormat="false" ht="12.75" hidden="false" customHeight="false" outlineLevel="0" collapsed="false">
      <c r="B5" s="4"/>
      <c r="C5" s="4"/>
      <c r="D5" s="4"/>
      <c r="E5" s="137"/>
      <c r="F5" s="143"/>
      <c r="I5" s="7" t="s">
        <v>64</v>
      </c>
      <c r="J5" s="144" t="e">
        <f aca="false">([1]!eomonth,([1]!edate,J3,(J4-1)),0)</f>
        <v>#VALUE!</v>
      </c>
      <c r="K5" s="61"/>
      <c r="L5" s="61"/>
      <c r="M5" s="61"/>
      <c r="N5" s="61"/>
      <c r="O5" s="61"/>
      <c r="P5" s="61"/>
      <c r="Q5" s="61"/>
      <c r="R5" s="61"/>
      <c r="U5" s="145"/>
    </row>
    <row r="6" customFormat="false" ht="13.5" hidden="false" customHeight="false" outlineLevel="0" collapsed="false">
      <c r="B6" s="146" t="str">
        <f aca="false">CONCATENATE("Receipt: ",$C$31)</f>
        <v>Receipt: IF-ELPO/SJ</v>
      </c>
      <c r="C6" s="146"/>
      <c r="D6" s="4"/>
      <c r="E6" s="146" t="str">
        <f aca="false">CONCATENATE("Delivery: ",$F$31)</f>
        <v>Delivery: </v>
      </c>
      <c r="F6" s="146"/>
      <c r="K6" s="61"/>
      <c r="L6" s="61"/>
      <c r="M6" s="61"/>
      <c r="N6" s="61"/>
      <c r="O6" s="61"/>
      <c r="P6" s="61"/>
      <c r="Q6" s="61"/>
      <c r="R6" s="61"/>
      <c r="T6" s="0" t="n">
        <v>1</v>
      </c>
      <c r="U6" s="147" t="s">
        <v>14</v>
      </c>
      <c r="Y6" s="27" t="s">
        <v>65</v>
      </c>
    </row>
    <row r="7" customFormat="false" ht="12.75" hidden="false" customHeight="false" outlineLevel="0" collapsed="false">
      <c r="B7" s="137" t="s">
        <v>6</v>
      </c>
      <c r="C7" s="148" t="e">
        <f aca="false">Model!$AQ$6</f>
        <v>#VALUE!</v>
      </c>
      <c r="D7" s="4"/>
      <c r="E7" s="137" t="s">
        <v>6</v>
      </c>
      <c r="F7" s="139" t="e">
        <f aca="false">Model!$AQ$6</f>
        <v>#VALUE!</v>
      </c>
      <c r="I7" s="61"/>
      <c r="J7" s="61"/>
      <c r="K7" s="61"/>
      <c r="L7" s="61"/>
      <c r="M7" s="61"/>
      <c r="N7" s="61"/>
      <c r="O7" s="61"/>
      <c r="P7" s="61"/>
      <c r="Q7" s="61"/>
      <c r="R7" s="61"/>
      <c r="T7" s="0" t="n">
        <v>2</v>
      </c>
      <c r="U7" s="147" t="s">
        <v>18</v>
      </c>
      <c r="Y7" s="149" t="n">
        <v>37137</v>
      </c>
    </row>
    <row r="8" customFormat="false" ht="12.75" hidden="false" customHeight="false" outlineLevel="0" collapsed="false">
      <c r="B8" s="137" t="s">
        <v>8</v>
      </c>
      <c r="C8" s="139" t="e">
        <f aca="false">Model!AS6</f>
        <v>#VALUE!</v>
      </c>
      <c r="D8" s="4"/>
      <c r="E8" s="137" t="s">
        <v>8</v>
      </c>
      <c r="F8" s="139" t="n">
        <f aca="false">Model!$AY$6</f>
        <v>0</v>
      </c>
      <c r="I8" s="136" t="s">
        <v>66</v>
      </c>
      <c r="J8" s="136"/>
      <c r="K8" s="61"/>
      <c r="L8" s="61"/>
      <c r="M8" s="61"/>
      <c r="N8" s="61"/>
      <c r="O8" s="61"/>
      <c r="P8" s="61"/>
      <c r="Q8" s="61"/>
      <c r="R8" s="61"/>
      <c r="Y8" s="150" t="n">
        <v>37217</v>
      </c>
    </row>
    <row r="9" customFormat="false" ht="13.5" hidden="false" customHeight="false" outlineLevel="0" collapsed="false">
      <c r="B9" s="137" t="s">
        <v>12</v>
      </c>
      <c r="C9" s="151" t="e">
        <f aca="false">Model!AT6</f>
        <v>#VALUE!</v>
      </c>
      <c r="D9" s="4"/>
      <c r="E9" s="137" t="s">
        <v>12</v>
      </c>
      <c r="F9" s="151" t="n">
        <f aca="false">Model!$AZ$6</f>
        <v>0</v>
      </c>
      <c r="I9" s="7" t="s">
        <v>67</v>
      </c>
      <c r="J9" s="152" t="n">
        <v>0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7"/>
      <c r="V9" s="61"/>
      <c r="W9" s="61"/>
      <c r="Y9" s="150" t="n">
        <v>37218</v>
      </c>
      <c r="AI9" s="27" t="s">
        <v>68</v>
      </c>
    </row>
    <row r="10" customFormat="false" ht="13.5" hidden="false" customHeight="false" outlineLevel="0" collapsed="false">
      <c r="B10" s="153" t="s">
        <v>69</v>
      </c>
      <c r="C10" s="139" t="e">
        <f aca="false">SUM(C7:C9)</f>
        <v>#VALUE!</v>
      </c>
      <c r="D10" s="4"/>
      <c r="E10" s="153" t="s">
        <v>69</v>
      </c>
      <c r="F10" s="139" t="e">
        <f aca="false">SUM(F7:F9)</f>
        <v>#VALUE!</v>
      </c>
      <c r="I10" s="7" t="s">
        <v>70</v>
      </c>
      <c r="J10" s="154" t="e">
        <f aca="false">J9*$C$3</f>
        <v>#VALUE!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140"/>
      <c r="V10" s="61"/>
      <c r="W10" s="61"/>
      <c r="Y10" s="150" t="n">
        <v>37249</v>
      </c>
      <c r="AD10" s="0" t="str">
        <f aca="false">CONCATENATE(CurveFetch!$E$4," ",,CurveFetch!$E$5," ",CurveFetch!$E$6)</f>
        <v>INTNS AA R</v>
      </c>
      <c r="AJ10" s="155" t="n">
        <v>1</v>
      </c>
      <c r="AK10" s="0" t="s">
        <v>71</v>
      </c>
      <c r="AL10" s="0" t="s">
        <v>72</v>
      </c>
      <c r="AM10" s="0" t="s">
        <v>73</v>
      </c>
    </row>
    <row r="11" customFormat="false" ht="12.75" hidden="false" customHeight="false" outlineLevel="0" collapsed="false">
      <c r="B11" s="153"/>
      <c r="C11" s="156"/>
      <c r="D11" s="4"/>
      <c r="E11" s="153"/>
      <c r="F11" s="156"/>
      <c r="I11" s="7"/>
      <c r="J11" s="157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Y11" s="150" t="n">
        <v>37250</v>
      </c>
      <c r="AD11" s="0" t="str">
        <f aca="false">CONCATENATE(CurveFetch!$F$4," ",,CurveFetch!$F$5," ",CurveFetch!$F$6)</f>
        <v>NG PR P</v>
      </c>
      <c r="AI11" s="0" t="n">
        <v>1</v>
      </c>
      <c r="AJ11" s="0" t="str">
        <f aca="false">CONCATENATE(CurveFetch!$H$4)</f>
        <v>IF-ELPO/SJ</v>
      </c>
      <c r="AK11" s="158" t="n">
        <v>5</v>
      </c>
      <c r="AL11" s="158" t="n">
        <v>6</v>
      </c>
      <c r="AM11" s="158" t="n">
        <v>7</v>
      </c>
      <c r="AN11" s="0" t="str">
        <f aca="false">AJ11</f>
        <v>IF-ELPO/SJ</v>
      </c>
    </row>
    <row r="12" customFormat="false" ht="12.75" hidden="false" customHeight="false" outlineLevel="0" collapsed="false">
      <c r="B12" s="153" t="str">
        <f aca="false">CONCATENATE(C38," Premium")</f>
        <v>Call Premium</v>
      </c>
      <c r="C12" s="139" t="e">
        <f aca="false">Model!U6</f>
        <v>#VALUE!</v>
      </c>
      <c r="D12" s="4"/>
      <c r="E12" s="153" t="str">
        <f aca="false">CONCATENATE(F38," Premium")</f>
        <v> Premium</v>
      </c>
      <c r="F12" s="139" t="n">
        <f aca="false">Model!AH6</f>
        <v>0</v>
      </c>
      <c r="I12" s="7"/>
      <c r="J12" s="157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Y12" s="159"/>
      <c r="AD12" s="0" t="str">
        <f aca="false">CONCATENATE(CurveFetch!$G$4," ",,CurveFetch!$G$5," ",CurveFetch!$G$6)</f>
        <v>NG VO P</v>
      </c>
      <c r="AI12" s="0" t="n">
        <v>2</v>
      </c>
      <c r="AJ12" s="0" t="str">
        <f aca="false">CONCATENATE(CurveFetch!$K$4)</f>
        <v>IF-ELPO/PERMIAN</v>
      </c>
      <c r="AK12" s="158" t="n">
        <v>8</v>
      </c>
      <c r="AL12" s="158" t="n">
        <v>9</v>
      </c>
      <c r="AM12" s="158" t="n">
        <v>10</v>
      </c>
      <c r="AN12" s="0" t="str">
        <f aca="false">AJ12</f>
        <v>IF-ELPO/PERMIAN</v>
      </c>
    </row>
    <row r="13" customFormat="false" ht="12.75" hidden="false" customHeight="false" outlineLevel="0" collapsed="false">
      <c r="B13" s="153" t="str">
        <f aca="false">CONCATENATE(C38," Value")</f>
        <v>Call Value</v>
      </c>
      <c r="C13" s="160" t="e">
        <f aca="false">Model!U7</f>
        <v>#VALUE!</v>
      </c>
      <c r="D13" s="4"/>
      <c r="E13" s="153" t="str">
        <f aca="false">CONCATENATE(F38," Value")</f>
        <v> Value</v>
      </c>
      <c r="F13" s="160" t="n">
        <f aca="false">Model!AH7</f>
        <v>0</v>
      </c>
      <c r="I13" s="7"/>
      <c r="J13" s="157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Y13" s="159"/>
      <c r="AD13" s="0" t="str">
        <f aca="false">CONCATENATE(CurveFetch!$H$4," ",,CurveFetch!$H$5," ",CurveFetch!$H$6)</f>
        <v>IF-ELPO/SJ PR D</v>
      </c>
      <c r="AI13" s="0" t="n">
        <v>3</v>
      </c>
      <c r="AJ13" s="0" t="str">
        <f aca="false">CONCATENATE(CurveFetch!$P$4)</f>
        <v>IF-NWPL_ROCKY_M</v>
      </c>
      <c r="AK13" s="158" t="n">
        <v>11</v>
      </c>
      <c r="AL13" s="158" t="n">
        <v>12</v>
      </c>
      <c r="AM13" s="158" t="n">
        <v>13</v>
      </c>
      <c r="AN13" s="0" t="str">
        <f aca="false">AJ13</f>
        <v>IF-NWPL_ROCKY_M</v>
      </c>
    </row>
    <row r="14" customFormat="false" ht="12.75" hidden="false" customHeight="false" outlineLevel="0" collapsed="false"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Y14" s="159"/>
      <c r="AD14" s="0" t="str">
        <f aca="false">CONCATENATE(CurveFetch!$I$4," ",,CurveFetch!$I$5," ",CurveFetch!$I$6)</f>
        <v>IF-ELPO/SJ PR I</v>
      </c>
      <c r="AI14" s="0" t="n">
        <v>4</v>
      </c>
      <c r="AJ14" s="0" t="str">
        <f aca="false">CONCATENATE(CurveFetch!$Q$4)</f>
        <v>IF-KERN/RIVER</v>
      </c>
      <c r="AK14" s="158" t="n">
        <v>14</v>
      </c>
      <c r="AL14" s="158" t="n">
        <v>15</v>
      </c>
      <c r="AM14" s="158" t="n">
        <v>4</v>
      </c>
      <c r="AN14" s="0" t="s">
        <v>74</v>
      </c>
    </row>
    <row r="15" customFormat="false" ht="26.25" hidden="false" customHeight="true" outlineLevel="0" collapsed="false">
      <c r="B15" s="161" t="e">
        <f aca="false">IF(AND($B$57="",$B$58="",$B$59="",$B$60="",$B$61=""),"",IF(AND($B$58="",$B$61=""),"WARNING! PRESS UPDATE CURVES TO FIX WARNING FLAG BELOW.","WARNING! SEE ERROR MESSAGE BELOW."))</f>
        <v>#VALUE!</v>
      </c>
      <c r="E15" s="27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Y15" s="159"/>
      <c r="AD15" s="0" t="str">
        <f aca="false">CONCATENATE(CurveFetch!$J$4," ",,CurveFetch!$J$5," ",CurveFetch!$J$6)</f>
        <v>IF-ELPO/SJ VO P</v>
      </c>
      <c r="AI15" s="0" t="n">
        <v>5</v>
      </c>
      <c r="AJ15" s="0" t="str">
        <f aca="false">CONCATENATE(CurveFetch!$S$4)</f>
        <v>IF-QUESTAR</v>
      </c>
      <c r="AK15" s="158" t="n">
        <v>16</v>
      </c>
      <c r="AL15" s="158" t="n">
        <v>17</v>
      </c>
      <c r="AM15" s="158" t="n">
        <v>4</v>
      </c>
      <c r="AN15" s="0" t="s">
        <v>74</v>
      </c>
    </row>
    <row r="16" customFormat="false" ht="12.75" hidden="false" customHeight="false" outlineLevel="0" collapsed="false">
      <c r="B16" s="136" t="s">
        <v>75</v>
      </c>
      <c r="C16" s="136"/>
      <c r="E16" s="136" t="s">
        <v>76</v>
      </c>
      <c r="F16" s="136"/>
      <c r="R16" s="61"/>
      <c r="S16" s="61"/>
      <c r="T16" s="61"/>
      <c r="U16" s="61"/>
      <c r="V16" s="61"/>
      <c r="W16" s="61"/>
      <c r="Y16" s="159"/>
      <c r="AD16" s="0" t="str">
        <f aca="false">CONCATENATE(CurveFetch!$K$4," ",,CurveFetch!$K$5," ",CurveFetch!$K$6)</f>
        <v>IF-ELPO/PERMIAN PR D</v>
      </c>
      <c r="AI16" s="0" t="n">
        <v>6</v>
      </c>
      <c r="AJ16" s="0" t="str">
        <f aca="false">CONCATENATE(CurveFetch!$U$4)</f>
        <v>IF-CIG/RKYMTN</v>
      </c>
      <c r="AK16" s="158" t="n">
        <v>18</v>
      </c>
      <c r="AL16" s="158" t="n">
        <v>19</v>
      </c>
      <c r="AM16" s="158" t="n">
        <v>4</v>
      </c>
      <c r="AN16" s="0" t="s">
        <v>74</v>
      </c>
    </row>
    <row r="17" customFormat="false" ht="12.75" hidden="false" customHeight="false" outlineLevel="0" collapsed="false">
      <c r="B17" s="137" t="s">
        <v>60</v>
      </c>
      <c r="C17" s="162" t="n">
        <f aca="false">Euro!C8</f>
        <v>37226</v>
      </c>
      <c r="E17" s="137" t="s">
        <v>77</v>
      </c>
      <c r="F17" s="163" t="e">
        <f aca="true">([1]!WORKDAY,TODAY(),-1,Holidays)</f>
        <v>#VALUE!</v>
      </c>
      <c r="I17" s="164"/>
      <c r="R17" s="61"/>
      <c r="S17" s="61"/>
      <c r="T17" s="61"/>
      <c r="U17" s="61"/>
      <c r="V17" s="61"/>
      <c r="W17" s="61"/>
      <c r="Y17" s="159"/>
      <c r="AD17" s="0" t="str">
        <f aca="false">CONCATENATE(CurveFetch!$L$4," ",,CurveFetch!$L$5," ",CurveFetch!$L$6)</f>
        <v>IF-ELPO/PERMIAN PR I</v>
      </c>
      <c r="AI17" s="0" t="n">
        <v>7</v>
      </c>
      <c r="AJ17" s="0" t="str">
        <f aca="false">CONCATENATE(CurveFetch!$W$4)</f>
        <v>CGPR-AECO/BASIS</v>
      </c>
      <c r="AK17" s="158" t="n">
        <v>20</v>
      </c>
      <c r="AL17" s="158" t="n">
        <v>21</v>
      </c>
      <c r="AM17" s="158" t="n">
        <v>4</v>
      </c>
      <c r="AN17" s="0" t="s">
        <v>74</v>
      </c>
    </row>
    <row r="18" customFormat="false" ht="13.5" hidden="false" customHeight="false" outlineLevel="0" collapsed="false">
      <c r="B18" s="137" t="s">
        <v>64</v>
      </c>
      <c r="C18" s="165" t="n">
        <f aca="false">Euro!C9</f>
        <v>37346</v>
      </c>
      <c r="E18" s="137" t="s">
        <v>78</v>
      </c>
      <c r="F18" s="166" t="str">
        <f aca="false">Euro!C11</f>
        <v>Physical</v>
      </c>
      <c r="I18" s="167"/>
      <c r="R18" s="61"/>
      <c r="S18" s="61"/>
      <c r="T18" s="61"/>
      <c r="U18" s="61"/>
      <c r="V18" s="61"/>
      <c r="W18" s="61"/>
      <c r="Y18" s="168"/>
      <c r="AD18" s="0" t="str">
        <f aca="false">CONCATENATE(CurveFetch!$M$4," ",,CurveFetch!$M$5," ",CurveFetch!$M$6)</f>
        <v>IF-ELPO/PERMIAN VO P</v>
      </c>
      <c r="AI18" s="0" t="n">
        <v>8</v>
      </c>
      <c r="AJ18" s="0" t="str">
        <f aca="false">CONCATENATE(CurveFetch!$Y$4)</f>
        <v>IF-NTHWST/CANBR</v>
      </c>
      <c r="AK18" s="158" t="n">
        <v>22</v>
      </c>
      <c r="AL18" s="158" t="n">
        <v>23</v>
      </c>
      <c r="AM18" s="158" t="n">
        <v>24</v>
      </c>
      <c r="AN18" s="0" t="str">
        <f aca="false">AJ18</f>
        <v>IF-NTHWST/CANBR</v>
      </c>
    </row>
    <row r="19" customFormat="false" ht="12.75" hidden="false" customHeight="false" outlineLevel="0" collapsed="false">
      <c r="B19" s="27" t="s">
        <v>79</v>
      </c>
      <c r="C19" s="169" t="e">
        <f aca="false">CONCATENATE(DATEDIF(Start_Date,([1]!edate,End_Date,1),"y")," Y ",DATEDIF(Start_Date,([1]!edate,End_Date,1),"YM")," M ")</f>
        <v>#VALUE!</v>
      </c>
      <c r="E19" s="137" t="s">
        <v>80</v>
      </c>
      <c r="F19" s="170" t="n">
        <v>0</v>
      </c>
      <c r="I19" s="167"/>
      <c r="M19" s="171" t="n">
        <v>0.0884816503100055</v>
      </c>
      <c r="R19" s="61"/>
      <c r="S19" s="61"/>
      <c r="T19" s="61"/>
      <c r="U19" s="61"/>
      <c r="V19" s="61"/>
      <c r="W19" s="61"/>
      <c r="AD19" s="0" t="str">
        <f aca="false">CONCATENATE(CurveFetch!$N$4," ",,CurveFetch!$N$5," ",CurveFetch!$N$6)</f>
        <v>IF-NWPL_ROCKY_M PR D</v>
      </c>
      <c r="AI19" s="0" t="n">
        <v>9</v>
      </c>
      <c r="AJ19" s="0" t="str">
        <f aca="false">CONCATENATE(CurveFetch!$AB$4)</f>
        <v>NGI-MALIN</v>
      </c>
      <c r="AK19" s="158" t="n">
        <v>25</v>
      </c>
      <c r="AL19" s="158" t="n">
        <v>26</v>
      </c>
      <c r="AM19" s="158" t="n">
        <v>4</v>
      </c>
      <c r="AN19" s="0" t="s">
        <v>74</v>
      </c>
    </row>
    <row r="20" customFormat="false" ht="12.75" hidden="false" customHeight="false" outlineLevel="0" collapsed="false">
      <c r="B20" s="137" t="s">
        <v>81</v>
      </c>
      <c r="C20" s="172" t="str">
        <f aca="false">Euro!F24</f>
        <v>Flat</v>
      </c>
      <c r="E20" s="137" t="s">
        <v>82</v>
      </c>
      <c r="F20" s="173" t="n">
        <v>2</v>
      </c>
      <c r="I20" s="167"/>
      <c r="M20" s="174" t="e">
        <f aca="false">C3*M19</f>
        <v>#VALUE!</v>
      </c>
      <c r="R20" s="61"/>
      <c r="S20" s="61"/>
      <c r="T20" s="61"/>
      <c r="U20" s="61"/>
      <c r="V20" s="61"/>
      <c r="W20" s="61"/>
      <c r="AD20" s="0" t="str">
        <f aca="false">CONCATENATE(CurveFetch!$O$4," ",,CurveFetch!$O$5," ",CurveFetch!$O$6)</f>
        <v>IF-NWPL_ROCKY_M PR I</v>
      </c>
      <c r="AI20" s="0" t="n">
        <v>10</v>
      </c>
      <c r="AJ20" s="0" t="str">
        <f aca="false">CONCATENATE(CurveFetch!$AD$4)</f>
        <v>NGI-SOCAL</v>
      </c>
      <c r="AK20" s="158" t="n">
        <v>27</v>
      </c>
      <c r="AL20" s="158" t="n">
        <v>28</v>
      </c>
      <c r="AM20" s="158" t="n">
        <v>29</v>
      </c>
      <c r="AN20" s="0" t="str">
        <f aca="false">AJ20</f>
        <v>NGI-SOCAL</v>
      </c>
    </row>
    <row r="21" customFormat="false" ht="12.75" hidden="false" customHeight="false" outlineLevel="0" collapsed="false">
      <c r="B21" s="137" t="s">
        <v>83</v>
      </c>
      <c r="C21" s="175" t="n">
        <f aca="false">Euro!F25</f>
        <v>5000</v>
      </c>
      <c r="E21" s="137" t="s">
        <v>84</v>
      </c>
      <c r="F21" s="173" t="n">
        <v>365.25</v>
      </c>
      <c r="I21" s="167"/>
      <c r="R21" s="61"/>
      <c r="S21" s="61"/>
      <c r="T21" s="61"/>
      <c r="U21" s="61"/>
      <c r="V21" s="61"/>
      <c r="W21" s="61"/>
      <c r="AD21" s="0" t="str">
        <f aca="false">CONCATENATE(CurveFetch!$P$4," ",,CurveFetch!$P$5," ",CurveFetch!$P$6)</f>
        <v>IF-NWPL_ROCKY_M VO P</v>
      </c>
      <c r="AI21" s="0" t="n">
        <v>11</v>
      </c>
      <c r="AJ21" s="0" t="str">
        <f aca="false">CONCATENATE(CurveFetch!$AG$4)</f>
        <v>NGI-PGE/CG</v>
      </c>
      <c r="AK21" s="158" t="n">
        <v>30</v>
      </c>
      <c r="AL21" s="158" t="n">
        <v>31</v>
      </c>
      <c r="AM21" s="158" t="n">
        <v>4</v>
      </c>
      <c r="AN21" s="0" t="s">
        <v>74</v>
      </c>
    </row>
    <row r="22" customFormat="false" ht="12.75" hidden="false" customHeight="false" outlineLevel="0" collapsed="false">
      <c r="I22" s="167"/>
      <c r="R22" s="61"/>
      <c r="S22" s="61"/>
      <c r="T22" s="61"/>
      <c r="U22" s="61"/>
      <c r="V22" s="61"/>
      <c r="W22" s="61"/>
      <c r="AD22" s="0" t="str">
        <f aca="false">CONCATENATE(CurveFetch!$Q$4," ",,CurveFetch!$Q$5," ",CurveFetch!$Q$6)</f>
        <v>IF-KERN/RIVER PR D</v>
      </c>
      <c r="AI22" s="0" t="n">
        <v>12</v>
      </c>
      <c r="AJ22" s="0" t="str">
        <f aca="false">CONCATENATE(CurveFetch!$AI$4)</f>
        <v>NGI-SOBDR-PG&amp;E</v>
      </c>
      <c r="AK22" s="158" t="n">
        <v>32</v>
      </c>
      <c r="AL22" s="158" t="n">
        <v>33</v>
      </c>
      <c r="AM22" s="158" t="n">
        <v>4</v>
      </c>
      <c r="AN22" s="0" t="s">
        <v>74</v>
      </c>
    </row>
    <row r="23" customFormat="false" ht="12.75" hidden="false" customHeight="false" outlineLevel="0" collapsed="false">
      <c r="I23" s="167"/>
      <c r="AD23" s="0" t="str">
        <f aca="false">CONCATENATE(CurveFetch!$R$4," ",,CurveFetch!$R$5," ",CurveFetch!$R$6)</f>
        <v>IF-KERN/RIVER PR I</v>
      </c>
    </row>
    <row r="24" customFormat="false" ht="12.75" hidden="false" customHeight="false" outlineLevel="0" collapsed="false">
      <c r="B24" s="136" t="s">
        <v>85</v>
      </c>
      <c r="C24" s="136"/>
      <c r="D24" s="136"/>
      <c r="E24" s="136"/>
      <c r="F24" s="136"/>
      <c r="I24" s="167"/>
      <c r="AD24" s="0" t="str">
        <f aca="false">CONCATENATE(CurveFetch!$S$4," ",,CurveFetch!$S$5," ",CurveFetch!$S$6)</f>
        <v>IF-QUESTAR PR D</v>
      </c>
    </row>
    <row r="25" customFormat="false" ht="12.75" hidden="false" customHeight="false" outlineLevel="0" collapsed="false">
      <c r="B25" s="137" t="s">
        <v>86</v>
      </c>
      <c r="C25" s="176" t="n">
        <f aca="false">Euro!C12</f>
        <v>37196</v>
      </c>
      <c r="D25" s="4"/>
      <c r="E25" s="4"/>
      <c r="F25" s="4"/>
      <c r="I25" s="167"/>
      <c r="U25" s="145"/>
      <c r="X25" s="55"/>
      <c r="Y25" s="177" t="s">
        <v>6</v>
      </c>
      <c r="AD25" s="0" t="str">
        <f aca="false">CONCATENATE(CurveFetch!$T$4," ",,CurveFetch!$T$5," ",CurveFetch!$T$6)</f>
        <v>IF-QUESTAR PR I</v>
      </c>
    </row>
    <row r="26" customFormat="false" ht="12.75" hidden="false" customHeight="false" outlineLevel="0" collapsed="false">
      <c r="B26" s="137" t="s">
        <v>87</v>
      </c>
      <c r="C26" s="176" t="n">
        <v>37196</v>
      </c>
      <c r="D26" s="4"/>
      <c r="E26" s="4"/>
      <c r="F26" s="4"/>
      <c r="I26" s="167"/>
      <c r="T26" s="0" t="n">
        <v>1</v>
      </c>
      <c r="U26" s="0" t="s">
        <v>23</v>
      </c>
      <c r="X26" s="59"/>
      <c r="Y26" s="178" t="n">
        <v>1</v>
      </c>
      <c r="AD26" s="0" t="str">
        <f aca="false">CONCATENATE(CurveFetch!$U$4," ",,CurveFetch!$U$5," ",CurveFetch!$U$6)</f>
        <v>IF-CIG/RKYMTN PR D</v>
      </c>
    </row>
    <row r="27" customFormat="false" ht="12.75" hidden="false" customHeight="false" outlineLevel="0" collapsed="false">
      <c r="B27" s="137" t="s">
        <v>88</v>
      </c>
      <c r="C27" s="179" t="str">
        <f aca="false">VLOOKUP($Y$26,$X$27:$Y$28,2)</f>
        <v>Mid</v>
      </c>
      <c r="D27" s="4"/>
      <c r="E27" s="4"/>
      <c r="F27" s="4"/>
      <c r="T27" s="0" t="n">
        <v>2</v>
      </c>
      <c r="U27" s="0" t="s">
        <v>24</v>
      </c>
      <c r="X27" s="59" t="n">
        <v>1</v>
      </c>
      <c r="Y27" s="63" t="s">
        <v>89</v>
      </c>
      <c r="AD27" s="0" t="str">
        <f aca="false">CONCATENATE(CurveFetch!$V$4," ",,CurveFetch!$V$5," ",CurveFetch!$V$6)</f>
        <v>IF-CIG/RKYMTN PR I</v>
      </c>
    </row>
    <row r="28" customFormat="false" ht="12.75" hidden="false" customHeight="false" outlineLevel="0" collapsed="false">
      <c r="D28" s="4"/>
      <c r="E28" s="4"/>
      <c r="F28" s="4"/>
      <c r="X28" s="180" t="n">
        <v>2</v>
      </c>
      <c r="Y28" s="181" t="s">
        <v>23</v>
      </c>
      <c r="AD28" s="0" t="str">
        <f aca="false">CONCATENATE(CurveFetch!$W$4," ",,CurveFetch!$W$5," ",CurveFetch!$W$6)</f>
        <v>CGPR-AECO/BASIS PR D</v>
      </c>
    </row>
    <row r="29" customFormat="false" ht="12.75" hidden="false" customHeight="false" outlineLevel="0" collapsed="false">
      <c r="B29" s="4"/>
      <c r="C29" s="4"/>
      <c r="D29" s="4"/>
      <c r="E29" s="4"/>
      <c r="F29" s="4"/>
      <c r="U29" s="145"/>
      <c r="AD29" s="0" t="str">
        <f aca="false">CONCATENATE(CurveFetch!$X$4," ",,CurveFetch!$X$5," ",CurveFetch!$X$6)</f>
        <v>CGPR-AECO/BASIS PR I</v>
      </c>
    </row>
    <row r="30" customFormat="false" ht="12.75" hidden="false" customHeight="false" outlineLevel="0" collapsed="false">
      <c r="B30" s="146" t="s">
        <v>90</v>
      </c>
      <c r="C30" s="146"/>
      <c r="D30" s="4"/>
      <c r="E30" s="182"/>
      <c r="F30" s="182"/>
      <c r="T30" s="0" t="n">
        <v>1</v>
      </c>
      <c r="U30" s="0" t="s">
        <v>23</v>
      </c>
      <c r="X30" s="55"/>
      <c r="Y30" s="177" t="s">
        <v>8</v>
      </c>
      <c r="AD30" s="0" t="str">
        <f aca="false">CONCATENATE(CurveFetch!$Y$4," ",,CurveFetch!$Y$5," ",CurveFetch!$Y$6)</f>
        <v>IF-NTHWST/CANBR PR D</v>
      </c>
    </row>
    <row r="31" customFormat="false" ht="12.75" hidden="false" customHeight="false" outlineLevel="0" collapsed="false">
      <c r="B31" s="137" t="s">
        <v>91</v>
      </c>
      <c r="C31" s="179" t="str">
        <f aca="false">VLOOKUP(Control!$AJ$10,Control!$AI$11:$AJ$22,2)</f>
        <v>IF-ELPO/SJ</v>
      </c>
      <c r="D31" s="4"/>
      <c r="E31" s="137"/>
      <c r="F31" s="183"/>
      <c r="T31" s="0" t="n">
        <v>2</v>
      </c>
      <c r="U31" s="0" t="s">
        <v>89</v>
      </c>
      <c r="X31" s="59"/>
      <c r="Y31" s="178" t="n">
        <v>1</v>
      </c>
      <c r="AD31" s="0" t="str">
        <f aca="false">CONCATENATE(CurveFetch!$Z$4," ",,CurveFetch!$Z$5," ",CurveFetch!$Z$6)</f>
        <v>IF-NTHWST/CANBR PR I</v>
      </c>
    </row>
    <row r="32" customFormat="false" ht="12.75" hidden="false" customHeight="false" outlineLevel="0" collapsed="false">
      <c r="B32" s="137"/>
      <c r="C32" s="166"/>
      <c r="D32" s="4"/>
      <c r="E32" s="137"/>
      <c r="F32" s="166"/>
      <c r="X32" s="59" t="n">
        <v>1</v>
      </c>
      <c r="Y32" s="63" t="s">
        <v>89</v>
      </c>
      <c r="AD32" s="0" t="str">
        <f aca="false">CONCATENATE(CurveFetch!$AA$4," ",,CurveFetch!$AA$5," ",CurveFetch!$AA$6)</f>
        <v>IF-NTHWST/CANBR VO P</v>
      </c>
    </row>
    <row r="33" customFormat="false" ht="12.75" hidden="false" customHeight="false" outlineLevel="0" collapsed="false">
      <c r="B33" s="137" t="s">
        <v>92</v>
      </c>
      <c r="C33" s="179" t="str">
        <f aca="false">VLOOKUP($Y$31,$X$32:$Y$33,2)</f>
        <v>Mid</v>
      </c>
      <c r="D33" s="4"/>
      <c r="E33" s="137"/>
      <c r="F33" s="183"/>
      <c r="U33" s="0" t="s">
        <v>93</v>
      </c>
      <c r="X33" s="180" t="n">
        <v>2</v>
      </c>
      <c r="Y33" s="181" t="s">
        <v>23</v>
      </c>
      <c r="AD33" s="0" t="str">
        <f aca="false">CONCATENATE(CurveFetch!$AB$4," ",,CurveFetch!$AB$5," ",CurveFetch!$AB$6)</f>
        <v>NGI-MALIN PR D</v>
      </c>
    </row>
    <row r="34" customFormat="false" ht="12.75" hidden="false" customHeight="false" outlineLevel="0" collapsed="false">
      <c r="B34" s="137" t="s">
        <v>94</v>
      </c>
      <c r="C34" s="179" t="str">
        <f aca="false">VLOOKUP($Y$37,$X$38:$Y$39,2)</f>
        <v>Mid</v>
      </c>
      <c r="D34" s="4"/>
      <c r="E34" s="137"/>
      <c r="F34" s="183"/>
      <c r="U34" s="0" t="s">
        <v>74</v>
      </c>
      <c r="AD34" s="0" t="str">
        <f aca="false">CONCATENATE(CurveFetch!$AC$4," ",,CurveFetch!$AC$5," ",CurveFetch!$AC$6)</f>
        <v>NGI-MALIN PR I</v>
      </c>
    </row>
    <row r="35" customFormat="false" ht="12.75" hidden="false" customHeight="false" outlineLevel="0" collapsed="false">
      <c r="U35" s="0" t="s">
        <v>95</v>
      </c>
      <c r="AD35" s="0" t="str">
        <f aca="false">CONCATENATE(CurveFetch!$AD$4," ",,CurveFetch!$AD$5," ",CurveFetch!$AD$6)</f>
        <v>NGI-SOCAL PR D</v>
      </c>
    </row>
    <row r="36" customFormat="false" ht="12.75" hidden="false" customHeight="false" outlineLevel="0" collapsed="false">
      <c r="B36" s="137" t="s">
        <v>96</v>
      </c>
      <c r="C36" s="179" t="str">
        <f aca="false">VLOOKUP(Control!$AJ$10,Control!$AI$11:$AN$22,6)</f>
        <v>IF-ELPO/SJ</v>
      </c>
      <c r="E36" s="137"/>
      <c r="F36" s="183"/>
      <c r="U36" s="0" t="s">
        <v>97</v>
      </c>
      <c r="X36" s="55"/>
      <c r="Y36" s="177" t="s">
        <v>12</v>
      </c>
      <c r="AD36" s="0" t="str">
        <f aca="false">CONCATENATE(CurveFetch!$AE$4," ",,CurveFetch!$AE$5," ",CurveFetch!$AE$6)</f>
        <v>NGI-SOCAL PR I</v>
      </c>
    </row>
    <row r="37" customFormat="false" ht="12.75" hidden="false" customHeight="false" outlineLevel="0" collapsed="false">
      <c r="B37" s="137"/>
      <c r="E37" s="137"/>
      <c r="U37" s="0" t="s">
        <v>98</v>
      </c>
      <c r="X37" s="59"/>
      <c r="Y37" s="178" t="n">
        <v>1</v>
      </c>
      <c r="AD37" s="0" t="str">
        <f aca="false">CONCATENATE(CurveFetch!$AF$4," ",,CurveFetch!$AF$5," ",CurveFetch!$AF$6)</f>
        <v>NGI-SOCAL VO P</v>
      </c>
    </row>
    <row r="38" customFormat="false" ht="12.75" hidden="false" customHeight="false" outlineLevel="0" collapsed="false">
      <c r="B38" s="137" t="s">
        <v>99</v>
      </c>
      <c r="C38" s="166" t="str">
        <f aca="false">Euro!C10</f>
        <v>Call</v>
      </c>
      <c r="E38" s="137"/>
      <c r="F38" s="183"/>
      <c r="U38" s="0" t="s">
        <v>100</v>
      </c>
      <c r="X38" s="59" t="n">
        <v>1</v>
      </c>
      <c r="Y38" s="63" t="s">
        <v>89</v>
      </c>
      <c r="AD38" s="0" t="str">
        <f aca="false">CONCATENATE(CurveFetch!$AG$4," ",,CurveFetch!$AG$5," ",CurveFetch!$AG$6)</f>
        <v>NGI-PGE/CG PR D</v>
      </c>
    </row>
    <row r="39" customFormat="false" ht="12.75" hidden="false" customHeight="false" outlineLevel="0" collapsed="false">
      <c r="B39" s="27" t="str">
        <f aca="false">IF(C38="Call","Out (In) the Money","In (Out) the Money")</f>
        <v>Out (In) the Money</v>
      </c>
      <c r="C39" s="184" t="n">
        <f aca="false">Euro!$Z$29</f>
        <v>0</v>
      </c>
      <c r="E39" s="27"/>
      <c r="F39" s="185"/>
      <c r="U39" s="0" t="s">
        <v>101</v>
      </c>
      <c r="X39" s="180" t="n">
        <v>2</v>
      </c>
      <c r="Y39" s="181" t="s">
        <v>23</v>
      </c>
      <c r="AD39" s="0" t="str">
        <f aca="false">CONCATENATE(CurveFetch!$AH$4," ",,CurveFetch!$AH$5," ",CurveFetch!$AH$6)</f>
        <v>NGI-PGE/CG PR I</v>
      </c>
    </row>
    <row r="40" customFormat="false" ht="12.75" hidden="false" customHeight="false" outlineLevel="0" collapsed="false">
      <c r="AD40" s="0" t="str">
        <f aca="false">CONCATENATE(CurveFetch!$AI$4," ",,CurveFetch!$AI$5," ",CurveFetch!$AI$6)</f>
        <v>NGI-SOBDR-PG&amp;E PR D</v>
      </c>
    </row>
    <row r="41" customFormat="false" ht="12.75" hidden="false" customHeight="false" outlineLevel="0" collapsed="false">
      <c r="U41" s="0" t="s">
        <v>102</v>
      </c>
      <c r="AD41" s="0" t="str">
        <f aca="false">CONCATENATE(CurveFetch!$AJ$4," ",,CurveFetch!$AJ$5," ",CurveFetch!$AJ$6)</f>
        <v>NGI-SOBDR-PG&amp;E PR I</v>
      </c>
    </row>
    <row r="42" customFormat="false" ht="12.75" hidden="false" customHeight="false" outlineLevel="0" collapsed="false">
      <c r="C42" s="186"/>
      <c r="U42" s="0" t="s">
        <v>11</v>
      </c>
    </row>
    <row r="43" customFormat="false" ht="12.75" hidden="false" customHeight="false" outlineLevel="0" collapsed="false">
      <c r="U43" s="0" t="s">
        <v>20</v>
      </c>
    </row>
    <row r="45" customFormat="false" ht="12.75" hidden="false" customHeight="false" outlineLevel="0" collapsed="false">
      <c r="B45" s="61"/>
      <c r="C45" s="61"/>
      <c r="D45" s="61"/>
      <c r="E45" s="61"/>
      <c r="F45" s="61"/>
      <c r="X45" s="27" t="s">
        <v>103</v>
      </c>
      <c r="Y45" s="27"/>
      <c r="Z45" s="27" t="s">
        <v>104</v>
      </c>
    </row>
    <row r="46" customFormat="false" ht="12.75" hidden="false" customHeight="false" outlineLevel="0" collapsed="false">
      <c r="B46" s="61"/>
      <c r="C46" s="61"/>
      <c r="D46" s="61"/>
      <c r="E46" s="61"/>
      <c r="F46" s="61"/>
      <c r="W46" s="0" t="n">
        <v>1</v>
      </c>
      <c r="X46" s="61" t="s">
        <v>95</v>
      </c>
      <c r="Z46" s="61" t="s">
        <v>95</v>
      </c>
    </row>
    <row r="47" customFormat="false" ht="12.75" hidden="false" customHeight="false" outlineLevel="0" collapsed="false">
      <c r="B47" s="61"/>
      <c r="C47" s="61"/>
      <c r="D47" s="61"/>
      <c r="E47" s="61"/>
      <c r="F47" s="61"/>
      <c r="W47" s="0" t="n">
        <v>2</v>
      </c>
      <c r="X47" s="61" t="s">
        <v>97</v>
      </c>
      <c r="Z47" s="61" t="s">
        <v>97</v>
      </c>
    </row>
    <row r="48" customFormat="false" ht="12.75" hidden="false" customHeight="false" outlineLevel="0" collapsed="false">
      <c r="B48" s="61"/>
      <c r="C48" s="61"/>
      <c r="D48" s="61"/>
      <c r="E48" s="61"/>
      <c r="F48" s="61"/>
      <c r="W48" s="0" t="n">
        <v>3</v>
      </c>
      <c r="X48" s="61" t="s">
        <v>98</v>
      </c>
      <c r="Z48" s="61" t="s">
        <v>98</v>
      </c>
    </row>
    <row r="49" customFormat="false" ht="12.75" hidden="false" customHeight="false" outlineLevel="0" collapsed="false">
      <c r="W49" s="0" t="n">
        <v>4</v>
      </c>
      <c r="X49" s="61" t="s">
        <v>105</v>
      </c>
      <c r="Z49" s="61" t="s">
        <v>105</v>
      </c>
    </row>
    <row r="50" customFormat="false" ht="12.75" hidden="false" customHeight="false" outlineLevel="0" collapsed="false">
      <c r="W50" s="0" t="n">
        <v>5</v>
      </c>
      <c r="X50" s="61" t="s">
        <v>106</v>
      </c>
      <c r="Z50" s="8" t="s">
        <v>74</v>
      </c>
    </row>
    <row r="51" customFormat="false" ht="12.75" hidden="false" customHeight="false" outlineLevel="0" collapsed="false">
      <c r="W51" s="0" t="n">
        <v>6</v>
      </c>
      <c r="X51" s="61" t="s">
        <v>107</v>
      </c>
      <c r="Z51" s="8" t="s">
        <v>74</v>
      </c>
    </row>
    <row r="52" customFormat="false" ht="12.75" hidden="false" customHeight="false" outlineLevel="0" collapsed="false">
      <c r="W52" s="0" t="n">
        <v>7</v>
      </c>
      <c r="X52" s="61" t="s">
        <v>108</v>
      </c>
      <c r="Z52" s="8" t="s">
        <v>74</v>
      </c>
    </row>
    <row r="53" customFormat="false" ht="12.75" hidden="false" customHeight="false" outlineLevel="0" collapsed="false">
      <c r="W53" s="0" t="n">
        <v>8</v>
      </c>
      <c r="X53" s="61" t="s">
        <v>100</v>
      </c>
      <c r="Z53" s="8" t="s">
        <v>74</v>
      </c>
    </row>
    <row r="54" customFormat="false" ht="12.75" hidden="false" customHeight="false" outlineLevel="0" collapsed="false">
      <c r="W54" s="0" t="n">
        <v>9</v>
      </c>
      <c r="X54" s="61" t="s">
        <v>109</v>
      </c>
      <c r="Z54" s="8" t="s">
        <v>74</v>
      </c>
    </row>
    <row r="55" customFormat="false" ht="12.75" hidden="false" customHeight="false" outlineLevel="0" collapsed="false">
      <c r="W55" s="0" t="n">
        <v>10</v>
      </c>
      <c r="X55" s="61" t="s">
        <v>101</v>
      </c>
      <c r="Z55" s="8" t="s">
        <v>101</v>
      </c>
    </row>
    <row r="56" customFormat="false" ht="12.75" hidden="false" customHeight="false" outlineLevel="0" collapsed="false">
      <c r="B56" s="187" t="e">
        <f aca="false">IF(AND($B$57="",$B$58="",$B$59="",$B$60="",$B$61=""),"NO WARNING FLAGS","WARNING FLAGS:")</f>
        <v>#VALUE!</v>
      </c>
      <c r="C56" s="56"/>
      <c r="D56" s="56"/>
      <c r="E56" s="56"/>
      <c r="F56" s="58"/>
      <c r="W56" s="0" t="n">
        <v>11</v>
      </c>
      <c r="X56" s="61" t="s">
        <v>110</v>
      </c>
      <c r="Z56" s="8" t="s">
        <v>74</v>
      </c>
    </row>
    <row r="57" customFormat="false" ht="12.75" hidden="false" customHeight="false" outlineLevel="0" collapsed="false">
      <c r="B57" s="188" t="str">
        <f aca="false">IF(date=$C$25,"","Current Curve Date Does Not Equal Desired Curve Date.  Update Curves")</f>
        <v/>
      </c>
      <c r="C57" s="61"/>
      <c r="D57" s="61"/>
      <c r="E57" s="61"/>
      <c r="F57" s="63"/>
      <c r="W57" s="0" t="n">
        <v>12</v>
      </c>
      <c r="X57" s="61" t="s">
        <v>111</v>
      </c>
      <c r="Z57" s="8" t="s">
        <v>74</v>
      </c>
    </row>
    <row r="58" customFormat="false" ht="12.75" hidden="false" customHeight="false" outlineLevel="0" collapsed="false">
      <c r="B58" s="188" t="str">
        <f aca="false">IF(OR((TEXT($C$25,"dddd")="Saturday"),(TEXT($C$25,"dddd")="Sunday")),"You may have chosen a curve date that falls on a weekend or holiday.  Choose another date.","")</f>
        <v/>
      </c>
      <c r="C58" s="61"/>
      <c r="D58" s="61"/>
      <c r="E58" s="61"/>
      <c r="F58" s="63"/>
    </row>
    <row r="59" customFormat="false" ht="12.75" hidden="false" customHeight="false" outlineLevel="0" collapsed="false">
      <c r="B59" s="188"/>
      <c r="C59" s="61"/>
      <c r="D59" s="61"/>
      <c r="E59" s="61"/>
      <c r="F59" s="63"/>
    </row>
    <row r="60" customFormat="false" ht="12.75" hidden="false" customHeight="false" outlineLevel="0" collapsed="false">
      <c r="B60" s="188"/>
      <c r="C60" s="61"/>
      <c r="D60" s="61"/>
      <c r="E60" s="61"/>
      <c r="F60" s="63"/>
    </row>
    <row r="61" customFormat="false" ht="12.75" hidden="false" customHeight="false" outlineLevel="0" collapsed="false">
      <c r="B61" s="189" t="e">
        <f aca="false">IF(OR(Val_Date=$C$25,Val_Date&lt;$C$25),"","Current curve date may not correspond to latest available curves.")</f>
        <v>#VALUE!</v>
      </c>
      <c r="C61" s="190"/>
      <c r="D61" s="190"/>
      <c r="E61" s="190"/>
      <c r="F61" s="181"/>
    </row>
    <row r="64" customFormat="false" ht="12.75" hidden="false" customHeight="false" outlineLevel="0" collapsed="false">
      <c r="B64" s="191" t="n">
        <v>37197</v>
      </c>
      <c r="C64" s="0" t="n">
        <f aca="false">WEEKDAY(B64,2)</f>
        <v>5</v>
      </c>
      <c r="D64" s="0" t="str">
        <f aca="false">TEXT(B64,"dddd")</f>
        <v>Friday</v>
      </c>
    </row>
    <row r="65" customFormat="false" ht="12.75" hidden="false" customHeight="false" outlineLevel="0" collapsed="false">
      <c r="B65" s="191" t="n">
        <v>37198</v>
      </c>
      <c r="C65" s="0" t="n">
        <f aca="false">WEEKDAY(B65,2)</f>
        <v>6</v>
      </c>
      <c r="D65" s="0" t="str">
        <f aca="false">TEXT(B65,"dddd")</f>
        <v>Saturday</v>
      </c>
    </row>
    <row r="66" customFormat="false" ht="12.75" hidden="false" customHeight="false" outlineLevel="0" collapsed="false">
      <c r="B66" s="191" t="n">
        <v>37199</v>
      </c>
      <c r="C66" s="0" t="n">
        <f aca="false">WEEKDAY(B66,2)</f>
        <v>7</v>
      </c>
      <c r="D66" s="0" t="str">
        <f aca="false">TEXT(B66,"dddd")</f>
        <v>Sunday</v>
      </c>
    </row>
    <row r="67" customFormat="false" ht="12.75" hidden="false" customHeight="false" outlineLevel="0" collapsed="false">
      <c r="B67" s="191" t="n">
        <v>37200</v>
      </c>
      <c r="C67" s="0" t="n">
        <f aca="false">WEEKDAY(B67,2)</f>
        <v>1</v>
      </c>
      <c r="D67" s="0" t="str">
        <f aca="false">TEXT(B67,"dddd")</f>
        <v>Monday</v>
      </c>
    </row>
  </sheetData>
  <mergeCells count="9">
    <mergeCell ref="B2:F2"/>
    <mergeCell ref="I2:J2"/>
    <mergeCell ref="B6:C6"/>
    <mergeCell ref="E6:F6"/>
    <mergeCell ref="I8:J8"/>
    <mergeCell ref="B16:C16"/>
    <mergeCell ref="E16:F16"/>
    <mergeCell ref="B24:F24"/>
    <mergeCell ref="B30:C30"/>
  </mergeCells>
  <conditionalFormatting sqref="B21:C21">
    <cfRule type="expression" priority="2" aboveAverage="0" equalAverage="0" bottom="0" percent="0" rank="0" text="" dxfId="22">
      <formula>$C$20="Custom"</formula>
    </cfRule>
  </conditionalFormatting>
  <printOptions headings="false" gridLines="false" gridLinesSet="true" horizontalCentered="true" verticalCentered="false"/>
  <pageMargins left="0.25" right="0.2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&amp;L&amp;8&amp;D
&amp;T</oddHeader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true" autoFill="0" autoPict="0" macro="Module1.CurveFetch">
                <anchor moveWithCells="true" sizeWithCells="false">
                  <from>
                    <xdr:col>4</xdr:col>
                    <xdr:colOff>60840</xdr:colOff>
                    <xdr:row>24</xdr:row>
                    <xdr:rowOff>86040</xdr:rowOff>
                  </from>
                  <to>
                    <xdr:col>5</xdr:col>
                    <xdr:colOff>1088280</xdr:colOff>
                    <xdr:row>26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80">
              <controlPr defaultSize="0" print="true" autoFill="0" autoPict="0" macro="Module2.Print_Chart_Only">
                <anchor moveWithCells="true" sizeWithCells="false">
                  <from>
                    <xdr:col>7</xdr:col>
                    <xdr:colOff>200520</xdr:colOff>
                    <xdr:row>15</xdr:row>
                    <xdr:rowOff>0</xdr:rowOff>
                  </from>
                  <to>
                    <xdr:col>10</xdr:col>
                    <xdr:colOff>720</xdr:colOff>
                    <xdr:row>16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F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8.99"/>
  </cols>
  <sheetData>
    <row r="6" customFormat="false" ht="12.75" hidden="false" customHeight="false" outlineLevel="0" collapsed="false">
      <c r="B6" s="0" t="str">
        <f aca="false">CONCATENATE(CurveFetch!$E$4," ",,CurveFetch!$E$5," ",CurveFetch!$E$6)</f>
        <v>INTNS AA R</v>
      </c>
      <c r="F6" s="0" t="str">
        <f aca="false">CONCATENATE(CurveFetch!$E$4," ",,CurveFetch!$E$5," ",CurveFetch!$E$6)</f>
        <v>INTNS AA R</v>
      </c>
    </row>
    <row r="7" customFormat="false" ht="12.75" hidden="false" customHeight="false" outlineLevel="0" collapsed="false">
      <c r="B7" s="0" t="str">
        <f aca="false">CONCATENATE(CurveFetch!$F$4," ",,CurveFetch!$F$5," ",CurveFetch!$F$6)</f>
        <v>NG PR P</v>
      </c>
      <c r="F7" s="0" t="str">
        <f aca="false">CONCATENATE(CurveFetch!$F$4," ",,CurveFetch!$F$5," ",CurveFetch!$F$6)</f>
        <v>NG PR P</v>
      </c>
    </row>
    <row r="8" customFormat="false" ht="12.75" hidden="false" customHeight="false" outlineLevel="0" collapsed="false">
      <c r="B8" s="0" t="str">
        <f aca="false">CONCATENATE(CurveFetch!$G$4," ",,CurveFetch!$G$5," ",CurveFetch!$G$6)</f>
        <v>NG VO P</v>
      </c>
      <c r="F8" s="0" t="str">
        <f aca="false">CONCATENATE(CurveFetch!$G$4," ",,CurveFetch!$G$5," ",CurveFetch!$G$6)</f>
        <v>NG VO P</v>
      </c>
    </row>
    <row r="9" customFormat="false" ht="12.75" hidden="false" customHeight="false" outlineLevel="0" collapsed="false">
      <c r="B9" s="0" t="str">
        <f aca="false">CONCATENATE(CurveFetch!$H$4," ",,CurveFetch!$H$5," ",CurveFetch!$H$6)</f>
        <v>IF-ELPO/SJ PR D</v>
      </c>
    </row>
    <row r="10" customFormat="false" ht="12.75" hidden="false" customHeight="false" outlineLevel="0" collapsed="false">
      <c r="B10" s="0" t="str">
        <f aca="false">CONCATENATE(CurveFetch!$I$4," ",,CurveFetch!$I$5," ",CurveFetch!$I$6)</f>
        <v>IF-ELPO/SJ PR I</v>
      </c>
    </row>
    <row r="11" customFormat="false" ht="12.75" hidden="false" customHeight="false" outlineLevel="0" collapsed="false">
      <c r="B11" s="0" t="str">
        <f aca="false">CONCATENATE(CurveFetch!$J$4," ",,CurveFetch!$J$5," ",CurveFetch!$J$6)</f>
        <v>IF-ELPO/SJ VO P</v>
      </c>
    </row>
    <row r="12" customFormat="false" ht="12.75" hidden="false" customHeight="false" outlineLevel="0" collapsed="false">
      <c r="B12" s="0" t="str">
        <f aca="false">CONCATENATE(CurveFetch!$K$4," ",,CurveFetch!$K$5," ",CurveFetch!$K$6)</f>
        <v>IF-ELPO/PERMIAN PR D</v>
      </c>
    </row>
    <row r="13" customFormat="false" ht="12.75" hidden="false" customHeight="false" outlineLevel="0" collapsed="false">
      <c r="B13" s="0" t="str">
        <f aca="false">CONCATENATE(CurveFetch!$L$4," ",,CurveFetch!$L$5," ",CurveFetch!$L$6)</f>
        <v>IF-ELPO/PERMIAN PR I</v>
      </c>
    </row>
    <row r="14" customFormat="false" ht="12.75" hidden="false" customHeight="false" outlineLevel="0" collapsed="false">
      <c r="B14" s="0" t="str">
        <f aca="false">CONCATENATE(CurveFetch!$M$4," ",,CurveFetch!$M$5," ",CurveFetch!$M$6)</f>
        <v>IF-ELPO/PERMIAN VO P</v>
      </c>
    </row>
    <row r="15" customFormat="false" ht="12.75" hidden="false" customHeight="false" outlineLevel="0" collapsed="false">
      <c r="B15" s="0" t="str">
        <f aca="false">CONCATENATE(CurveFetch!$N$4," ",,CurveFetch!$N$5," ",CurveFetch!$N$6)</f>
        <v>IF-NWPL_ROCKY_M PR D</v>
      </c>
    </row>
    <row r="16" customFormat="false" ht="12.75" hidden="false" customHeight="false" outlineLevel="0" collapsed="false">
      <c r="B16" s="0" t="str">
        <f aca="false">CONCATENATE(CurveFetch!$O$4," ",,CurveFetch!$O$5," ",CurveFetch!$O$6)</f>
        <v>IF-NWPL_ROCKY_M PR I</v>
      </c>
    </row>
    <row r="17" customFormat="false" ht="12.75" hidden="false" customHeight="false" outlineLevel="0" collapsed="false">
      <c r="B17" s="0" t="str">
        <f aca="false">CONCATENATE(CurveFetch!$P$4," ",,CurveFetch!$P$5," ",CurveFetch!$P$6)</f>
        <v>IF-NWPL_ROCKY_M VO P</v>
      </c>
    </row>
    <row r="18" customFormat="false" ht="12.75" hidden="false" customHeight="false" outlineLevel="0" collapsed="false">
      <c r="B18" s="0" t="str">
        <f aca="false">CONCATENATE(CurveFetch!$Q$4," ",,CurveFetch!$Q$5," ",CurveFetch!$Q$6)</f>
        <v>IF-KERN/RIVER PR D</v>
      </c>
    </row>
    <row r="19" customFormat="false" ht="12.75" hidden="false" customHeight="false" outlineLevel="0" collapsed="false">
      <c r="B19" s="0" t="str">
        <f aca="false">CONCATENATE(CurveFetch!$R$4," ",,CurveFetch!$R$5," ",CurveFetch!$R$6)</f>
        <v>IF-KERN/RIVER PR I</v>
      </c>
    </row>
    <row r="20" customFormat="false" ht="12.75" hidden="false" customHeight="false" outlineLevel="0" collapsed="false">
      <c r="B20" s="0" t="str">
        <f aca="false">CONCATENATE(CurveFetch!$S$4," ",,CurveFetch!$S$5," ",CurveFetch!$S$6)</f>
        <v>IF-QUESTAR PR D</v>
      </c>
    </row>
    <row r="21" customFormat="false" ht="12.75" hidden="false" customHeight="false" outlineLevel="0" collapsed="false">
      <c r="B21" s="0" t="str">
        <f aca="false">CONCATENATE(CurveFetch!$T$4," ",,CurveFetch!$T$5," ",CurveFetch!$T$6)</f>
        <v>IF-QUESTAR PR I</v>
      </c>
    </row>
    <row r="22" customFormat="false" ht="12.75" hidden="false" customHeight="false" outlineLevel="0" collapsed="false">
      <c r="B22" s="0" t="str">
        <f aca="false">CONCATENATE(CurveFetch!$U$4," ",,CurveFetch!$U$5," ",CurveFetch!$U$6)</f>
        <v>IF-CIG/RKYMTN PR D</v>
      </c>
    </row>
    <row r="23" customFormat="false" ht="12.75" hidden="false" customHeight="false" outlineLevel="0" collapsed="false">
      <c r="B23" s="0" t="str">
        <f aca="false">CONCATENATE(CurveFetch!$V$4," ",,CurveFetch!$V$5," ",CurveFetch!$V$6)</f>
        <v>IF-CIG/RKYMTN PR I</v>
      </c>
    </row>
    <row r="24" customFormat="false" ht="12.75" hidden="false" customHeight="false" outlineLevel="0" collapsed="false">
      <c r="B24" s="0" t="str">
        <f aca="false">CONCATENATE(CurveFetch!$W$4," ",,CurveFetch!$W$5," ",CurveFetch!$W$6)</f>
        <v>CGPR-AECO/BASIS PR D</v>
      </c>
    </row>
    <row r="25" customFormat="false" ht="12.75" hidden="false" customHeight="false" outlineLevel="0" collapsed="false">
      <c r="B25" s="0" t="str">
        <f aca="false">CONCATENATE(CurveFetch!$X$4," ",,CurveFetch!$X$5," ",CurveFetch!$X$6)</f>
        <v>CGPR-AECO/BASIS PR I</v>
      </c>
    </row>
    <row r="26" customFormat="false" ht="12.75" hidden="false" customHeight="false" outlineLevel="0" collapsed="false">
      <c r="B26" s="0" t="str">
        <f aca="false">CONCATENATE(CurveFetch!$Y$4," ",,CurveFetch!$Y$5," ",CurveFetch!$Y$6)</f>
        <v>IF-NTHWST/CANBR PR D</v>
      </c>
    </row>
    <row r="27" customFormat="false" ht="12.75" hidden="false" customHeight="false" outlineLevel="0" collapsed="false">
      <c r="B27" s="0" t="str">
        <f aca="false">CONCATENATE(CurveFetch!$Z$4," ",,CurveFetch!$Z$5," ",CurveFetch!$Z$6)</f>
        <v>IF-NTHWST/CANBR PR I</v>
      </c>
    </row>
    <row r="28" customFormat="false" ht="12.75" hidden="false" customHeight="false" outlineLevel="0" collapsed="false">
      <c r="B28" s="0" t="str">
        <f aca="false">CONCATENATE(CurveFetch!$AA$4," ",,CurveFetch!$AA$5," ",CurveFetch!$AA$6)</f>
        <v>IF-NTHWST/CANBR VO P</v>
      </c>
    </row>
    <row r="29" customFormat="false" ht="12.75" hidden="false" customHeight="false" outlineLevel="0" collapsed="false">
      <c r="B29" s="0" t="str">
        <f aca="false">CONCATENATE(CurveFetch!$AB$4," ",,CurveFetch!$AB$5," ",CurveFetch!$AB$6)</f>
        <v>NGI-MALIN PR D</v>
      </c>
    </row>
    <row r="30" customFormat="false" ht="12.75" hidden="false" customHeight="false" outlineLevel="0" collapsed="false">
      <c r="B30" s="0" t="str">
        <f aca="false">CONCATENATE(CurveFetch!$AC$4," ",,CurveFetch!$AC$5," ",CurveFetch!$AC$6)</f>
        <v>NGI-MALIN PR I</v>
      </c>
    </row>
    <row r="31" customFormat="false" ht="12.75" hidden="false" customHeight="false" outlineLevel="0" collapsed="false">
      <c r="B31" s="0" t="str">
        <f aca="false">CONCATENATE(CurveFetch!$AD$4," ",,CurveFetch!$AD$5," ",CurveFetch!$AD$6)</f>
        <v>NGI-SOCAL PR D</v>
      </c>
    </row>
    <row r="32" customFormat="false" ht="12.75" hidden="false" customHeight="false" outlineLevel="0" collapsed="false">
      <c r="B32" s="0" t="str">
        <f aca="false">CONCATENATE(CurveFetch!$AE$4," ",,CurveFetch!$AE$5," ",CurveFetch!$AE$6)</f>
        <v>NGI-SOCAL PR I</v>
      </c>
    </row>
    <row r="33" customFormat="false" ht="12.75" hidden="false" customHeight="false" outlineLevel="0" collapsed="false">
      <c r="B33" s="0" t="str">
        <f aca="false">CONCATENATE(CurveFetch!$AF$4," ",,CurveFetch!$AF$5," ",CurveFetch!$AF$6)</f>
        <v>NGI-SOCAL VO P</v>
      </c>
    </row>
    <row r="34" customFormat="false" ht="12.75" hidden="false" customHeight="false" outlineLevel="0" collapsed="false">
      <c r="B34" s="0" t="str">
        <f aca="false">CONCATENATE(CurveFetch!$AG$4," ",,CurveFetch!$AG$5," ",CurveFetch!$AG$6)</f>
        <v>NGI-PGE/CG PR D</v>
      </c>
    </row>
    <row r="35" customFormat="false" ht="12.75" hidden="false" customHeight="false" outlineLevel="0" collapsed="false">
      <c r="B35" s="0" t="str">
        <f aca="false">CONCATENATE(CurveFetch!$AH$4," ",,CurveFetch!$AH$5," ",CurveFetch!$AH$6)</f>
        <v>NGI-PGE/CG PR I</v>
      </c>
    </row>
    <row r="36" customFormat="false" ht="12.75" hidden="false" customHeight="false" outlineLevel="0" collapsed="false">
      <c r="B36" s="0" t="str">
        <f aca="false">CONCATENATE(CurveFetch!$AI$4," ",,CurveFetch!$AI$5," ",CurveFetch!$AI$6)</f>
        <v>NGI-SOBDR-PG&amp;E PR D</v>
      </c>
    </row>
    <row r="37" customFormat="false" ht="12.75" hidden="false" customHeight="false" outlineLevel="0" collapsed="false">
      <c r="B37" s="0" t="str">
        <f aca="false">CONCATENATE(CurveFetch!$AJ$4," ",,CurveFetch!$AJ$5," ",CurveFetch!$AJ$6)</f>
        <v>NGI-SOBDR-PG&amp;E PR I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3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255" activePane="bottomRight" state="frozen"/>
      <selection pane="topLeft" activeCell="A1" activeCellId="0" sqref="A1"/>
      <selection pane="topRight" activeCell="D1" activeCellId="0" sqref="D1"/>
      <selection pane="bottomLeft" activeCell="A255" activeCellId="0" sqref="A255"/>
      <selection pane="bottomRight" activeCell="P272" activeCellId="0" sqref="P2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7.42"/>
    <col collapsed="false" customWidth="true" hidden="false" outlineLevel="0" max="3" min="3" style="0" width="15.41"/>
    <col collapsed="false" customWidth="true" hidden="false" outlineLevel="0" max="4" min="4" style="0" width="7.28"/>
    <col collapsed="false" customWidth="true" hidden="false" outlineLevel="0" max="6" min="5" style="0" width="17.85"/>
    <col collapsed="false" customWidth="true" hidden="false" outlineLevel="0" max="7" min="7" style="0" width="5.85"/>
    <col collapsed="false" customWidth="true" hidden="false" outlineLevel="0" max="9" min="9" style="0" width="6.41"/>
    <col collapsed="false" customWidth="true" hidden="false" outlineLevel="0" max="10" min="10" style="0" width="16.7"/>
    <col collapsed="false" customWidth="true" hidden="false" outlineLevel="0" max="11" min="11" style="192" width="16.7"/>
    <col collapsed="false" customWidth="true" hidden="false" outlineLevel="0" max="12" min="12" style="0" width="12.56"/>
    <col collapsed="false" customWidth="true" hidden="false" outlineLevel="0" max="14" min="14" style="0" width="13.56"/>
    <col collapsed="false" customWidth="true" hidden="false" outlineLevel="0" max="17" min="15" style="0" width="13.14"/>
    <col collapsed="false" customWidth="true" hidden="false" outlineLevel="0" max="18" min="18" style="0" width="19.7"/>
    <col collapsed="false" customWidth="true" hidden="false" outlineLevel="0" max="20" min="20" style="0" width="16.13"/>
    <col collapsed="false" customWidth="true" hidden="false" outlineLevel="0" max="21" min="21" style="0" width="13.14"/>
    <col collapsed="false" customWidth="true" hidden="false" outlineLevel="0" max="22" min="22" style="0" width="16.13"/>
    <col collapsed="false" customWidth="true" hidden="false" outlineLevel="0" max="25" min="23" style="192" width="17.99"/>
    <col collapsed="false" customWidth="true" hidden="false" outlineLevel="0" max="27" min="27" style="192" width="13.56"/>
    <col collapsed="false" customWidth="true" hidden="false" outlineLevel="0" max="30" min="28" style="192" width="13.14"/>
    <col collapsed="false" customWidth="true" hidden="false" outlineLevel="0" max="31" min="31" style="192" width="19.7"/>
    <col collapsed="false" customWidth="true" hidden="false" outlineLevel="0" max="32" min="32" style="192" width="9.14"/>
    <col collapsed="false" customWidth="true" hidden="false" outlineLevel="0" max="33" min="33" style="192" width="16.13"/>
    <col collapsed="false" customWidth="true" hidden="false" outlineLevel="0" max="34" min="34" style="192" width="13.14"/>
    <col collapsed="false" customWidth="true" hidden="false" outlineLevel="0" max="35" min="35" style="0" width="13.14"/>
    <col collapsed="false" customWidth="true" hidden="false" outlineLevel="0" max="39" min="39" style="0" width="15.85"/>
    <col collapsed="false" customWidth="true" hidden="false" outlineLevel="0" max="41" min="41" style="0" width="13.28"/>
    <col collapsed="false" customWidth="true" hidden="false" outlineLevel="0" max="42" min="42" style="0" width="4.56"/>
    <col collapsed="false" customWidth="true" hidden="false" outlineLevel="0" max="43" min="43" style="0" width="12.7"/>
    <col collapsed="false" customWidth="true" hidden="false" outlineLevel="0" max="44" min="44" style="0" width="4.56"/>
    <col collapsed="false" customWidth="true" hidden="false" outlineLevel="0" max="45" min="45" style="0" width="14.85"/>
    <col collapsed="false" customWidth="true" hidden="false" outlineLevel="0" max="46" min="46" style="0" width="10.85"/>
    <col collapsed="false" customWidth="true" hidden="false" outlineLevel="0" max="47" min="47" style="0" width="13.14"/>
    <col collapsed="false" customWidth="true" hidden="false" outlineLevel="0" max="48" min="48" style="0" width="2.7"/>
    <col collapsed="false" customWidth="true" hidden="false" outlineLevel="0" max="49" min="49" style="0" width="13.14"/>
    <col collapsed="false" customWidth="true" hidden="false" outlineLevel="0" max="51" min="51" style="192" width="14.41"/>
    <col collapsed="false" customWidth="true" hidden="false" outlineLevel="0" max="53" min="52" style="192" width="11.28"/>
    <col collapsed="false" customWidth="true" hidden="false" outlineLevel="0" max="54" min="54" style="192" width="9.14"/>
    <col collapsed="false" customWidth="true" hidden="false" outlineLevel="0" max="55" min="55" style="192" width="13.14"/>
    <col collapsed="false" customWidth="true" hidden="false" outlineLevel="0" max="56" min="56" style="0" width="18.85"/>
  </cols>
  <sheetData>
    <row r="1" customFormat="false" ht="12.75" hidden="false" customHeight="false" outlineLevel="0" collapsed="false">
      <c r="A1" s="0" t="n">
        <v>1</v>
      </c>
      <c r="B1" s="0" t="n">
        <f aca="false">A1+1</f>
        <v>2</v>
      </c>
      <c r="C1" s="0" t="n">
        <f aca="false">B1+1</f>
        <v>3</v>
      </c>
      <c r="D1" s="0" t="n">
        <f aca="false">C1+1</f>
        <v>4</v>
      </c>
      <c r="E1" s="0" t="n">
        <f aca="false">D1+1</f>
        <v>5</v>
      </c>
      <c r="F1" s="0" t="n">
        <f aca="false">E1+1</f>
        <v>6</v>
      </c>
      <c r="G1" s="0" t="n">
        <f aca="false">F1+1</f>
        <v>7</v>
      </c>
      <c r="H1" s="0" t="n">
        <f aca="false">G1+1</f>
        <v>8</v>
      </c>
      <c r="I1" s="0" t="n">
        <f aca="false">H1+1</f>
        <v>9</v>
      </c>
      <c r="J1" s="0" t="n">
        <f aca="false">I1+1</f>
        <v>10</v>
      </c>
      <c r="K1" s="0" t="n">
        <f aca="false">J1+1</f>
        <v>11</v>
      </c>
      <c r="L1" s="0" t="n">
        <f aca="false">K1+1</f>
        <v>12</v>
      </c>
      <c r="M1" s="0" t="n">
        <f aca="false">L1+1</f>
        <v>13</v>
      </c>
      <c r="N1" s="0" t="n">
        <f aca="false">M1+1</f>
        <v>14</v>
      </c>
      <c r="O1" s="0" t="n">
        <f aca="false">N1+1</f>
        <v>15</v>
      </c>
      <c r="P1" s="0" t="n">
        <f aca="false">O1+1</f>
        <v>16</v>
      </c>
      <c r="Q1" s="0" t="n">
        <f aca="false">P1+1</f>
        <v>17</v>
      </c>
      <c r="R1" s="0" t="n">
        <f aca="false">Q1+1</f>
        <v>18</v>
      </c>
      <c r="S1" s="0" t="n">
        <f aca="false">R1+1</f>
        <v>19</v>
      </c>
      <c r="T1" s="0" t="n">
        <f aca="false">S1+1</f>
        <v>20</v>
      </c>
      <c r="U1" s="0" t="n">
        <f aca="false">T1+1</f>
        <v>21</v>
      </c>
      <c r="V1" s="0" t="n">
        <f aca="false">U1+1</f>
        <v>22</v>
      </c>
      <c r="W1" s="0" t="n">
        <f aca="false">V1+1</f>
        <v>23</v>
      </c>
      <c r="X1" s="0" t="n">
        <f aca="false">W1+1</f>
        <v>24</v>
      </c>
      <c r="Y1" s="0" t="n">
        <f aca="false">X1+1</f>
        <v>25</v>
      </c>
      <c r="Z1" s="0" t="n">
        <f aca="false">Y1+1</f>
        <v>26</v>
      </c>
      <c r="AA1" s="192" t="n">
        <f aca="false">Z1+1</f>
        <v>27</v>
      </c>
      <c r="AB1" s="192" t="n">
        <f aca="false">AA1+1</f>
        <v>28</v>
      </c>
      <c r="AC1" s="192" t="n">
        <f aca="false">AB1+1</f>
        <v>29</v>
      </c>
      <c r="AD1" s="192" t="n">
        <f aca="false">AC1+1</f>
        <v>30</v>
      </c>
      <c r="AE1" s="192" t="n">
        <f aca="false">AD1+1</f>
        <v>31</v>
      </c>
      <c r="AF1" s="192" t="n">
        <f aca="false">AE1+1</f>
        <v>32</v>
      </c>
      <c r="AG1" s="192" t="n">
        <f aca="false">AF1+1</f>
        <v>33</v>
      </c>
      <c r="AH1" s="192" t="n">
        <f aca="false">AG1+1</f>
        <v>34</v>
      </c>
      <c r="AI1" s="0" t="n">
        <f aca="false">AH1+1</f>
        <v>35</v>
      </c>
      <c r="AJ1" s="0" t="n">
        <f aca="false">AI1+1</f>
        <v>36</v>
      </c>
      <c r="AK1" s="0" t="n">
        <f aca="false">AJ1+1</f>
        <v>37</v>
      </c>
      <c r="AL1" s="0" t="n">
        <f aca="false">AK1+1</f>
        <v>38</v>
      </c>
      <c r="AM1" s="0" t="n">
        <f aca="false">AL1+1</f>
        <v>39</v>
      </c>
      <c r="AN1" s="0" t="n">
        <f aca="false">AM1+1</f>
        <v>40</v>
      </c>
      <c r="AO1" s="0" t="n">
        <f aca="false">AN1+1</f>
        <v>41</v>
      </c>
    </row>
    <row r="3" customFormat="false" ht="12.75" hidden="false" customHeight="false" outlineLevel="0" collapsed="false">
      <c r="J3" s="27" t="str">
        <f aca="false">CONCATENATE("Receipt Curve: ",Control!$C$33," ",Control!$C$31)</f>
        <v>Receipt Curve: Mid IF-ELPO/SJ</v>
      </c>
      <c r="N3" s="27" t="s">
        <v>112</v>
      </c>
      <c r="S3" s="27"/>
      <c r="W3" s="193"/>
      <c r="AA3" s="193"/>
      <c r="AF3" s="193"/>
      <c r="AL3" s="27" t="str">
        <f aca="false">CONCATENATE("Compounding: ",Comp_Per)</f>
        <v>Compounding: 2</v>
      </c>
      <c r="AO3" s="27" t="s">
        <v>113</v>
      </c>
    </row>
    <row r="4" customFormat="false" ht="12.75" hidden="false" customHeight="false" outlineLevel="0" collapsed="false">
      <c r="H4" s="27" t="str">
        <f aca="false">Control!$C$27</f>
        <v>Mid</v>
      </c>
      <c r="J4" s="27" t="str">
        <f aca="false">Control!$C$33</f>
        <v>Mid</v>
      </c>
      <c r="K4" s="27" t="str">
        <f aca="false">Control!$C$34</f>
        <v>Mid</v>
      </c>
      <c r="L4" s="27"/>
      <c r="N4" s="27" t="str">
        <f aca="false">CONCATENATE("Receipt Vol: ",Control!C36)</f>
        <v>Receipt Vol: IF-ELPO/SJ</v>
      </c>
      <c r="S4" s="27"/>
      <c r="U4" s="186"/>
      <c r="W4" s="193"/>
      <c r="X4" s="193"/>
      <c r="Y4" s="193"/>
      <c r="AA4" s="193"/>
      <c r="AF4" s="193"/>
      <c r="AH4" s="194"/>
      <c r="AI4" s="186"/>
      <c r="AL4" s="27" t="str">
        <f aca="false">CONCATENATE("Bps Charge: ",Cost_of_Funds)</f>
        <v>Bps Charge: 0</v>
      </c>
      <c r="AS4" s="27" t="str">
        <f aca="false">CONCATENATE("Receipt: ",Control!$C$31)</f>
        <v>Receipt: IF-ELPO/SJ</v>
      </c>
      <c r="AY4" s="193"/>
      <c r="BC4" s="193"/>
      <c r="BE4" s="27"/>
    </row>
    <row r="5" customFormat="false" ht="12.75" hidden="false" customHeight="false" outlineLevel="0" collapsed="false">
      <c r="A5" s="27" t="s">
        <v>38</v>
      </c>
      <c r="B5" s="27" t="s">
        <v>114</v>
      </c>
      <c r="C5" s="27" t="s">
        <v>115</v>
      </c>
      <c r="E5" s="27" t="s">
        <v>116</v>
      </c>
      <c r="F5" s="27" t="s">
        <v>117</v>
      </c>
      <c r="H5" s="27" t="s">
        <v>6</v>
      </c>
      <c r="J5" s="27" t="s">
        <v>8</v>
      </c>
      <c r="K5" s="27" t="s">
        <v>12</v>
      </c>
      <c r="L5" s="27" t="s">
        <v>118</v>
      </c>
      <c r="N5" s="27" t="s">
        <v>16</v>
      </c>
      <c r="O5" s="27" t="s">
        <v>3</v>
      </c>
      <c r="P5" s="27" t="s">
        <v>119</v>
      </c>
      <c r="Q5" s="27" t="s">
        <v>120</v>
      </c>
      <c r="R5" s="27" t="s">
        <v>121</v>
      </c>
      <c r="S5" s="27" t="s">
        <v>51</v>
      </c>
      <c r="T5" s="27" t="s">
        <v>122</v>
      </c>
      <c r="U5" s="27" t="str">
        <f aca="false">Control!C38</f>
        <v>Call</v>
      </c>
      <c r="V5" s="27"/>
      <c r="W5" s="193"/>
      <c r="X5" s="193"/>
      <c r="Y5" s="193"/>
      <c r="AA5" s="193"/>
      <c r="AB5" s="193"/>
      <c r="AC5" s="193"/>
      <c r="AD5" s="193"/>
      <c r="AE5" s="193"/>
      <c r="AF5" s="193"/>
      <c r="AG5" s="193"/>
      <c r="AH5" s="193"/>
      <c r="AI5" s="27"/>
      <c r="AJ5" s="27" t="s">
        <v>123</v>
      </c>
      <c r="AL5" s="27" t="s">
        <v>124</v>
      </c>
      <c r="AM5" s="27" t="s">
        <v>125</v>
      </c>
      <c r="AO5" s="27" t="s">
        <v>126</v>
      </c>
      <c r="AP5" s="27"/>
      <c r="AQ5" s="27" t="s">
        <v>6</v>
      </c>
      <c r="AR5" s="27"/>
      <c r="AS5" s="27" t="s">
        <v>8</v>
      </c>
      <c r="AT5" s="27" t="s">
        <v>12</v>
      </c>
      <c r="AU5" s="27" t="s">
        <v>118</v>
      </c>
      <c r="AV5" s="27"/>
      <c r="AW5" s="27"/>
      <c r="AY5" s="193"/>
      <c r="AZ5" s="193"/>
      <c r="BA5" s="193"/>
      <c r="BC5" s="193"/>
      <c r="BE5" s="27"/>
    </row>
    <row r="6" customFormat="false" ht="12.75" hidden="false" customHeight="false" outlineLevel="0" collapsed="false">
      <c r="A6" s="27" t="s">
        <v>127</v>
      </c>
      <c r="B6" s="27"/>
      <c r="C6" s="27"/>
      <c r="E6" s="27"/>
      <c r="F6" s="27"/>
      <c r="H6" s="27"/>
      <c r="J6" s="27"/>
      <c r="K6" s="27"/>
      <c r="L6" s="27"/>
      <c r="U6" s="195" t="e">
        <f aca="false">U7/F7</f>
        <v>#VALUE!</v>
      </c>
      <c r="W6" s="193"/>
      <c r="X6" s="193"/>
      <c r="Y6" s="193"/>
      <c r="AH6" s="196"/>
      <c r="AI6" s="195"/>
      <c r="AJ6" s="27"/>
      <c r="AL6" s="27"/>
      <c r="AM6" s="27"/>
      <c r="AO6" s="156" t="e">
        <f aca="false">AO7/$AO$7</f>
        <v>#VALUE!</v>
      </c>
      <c r="AP6" s="27"/>
      <c r="AQ6" s="156" t="e">
        <f aca="false">AQ7/$AO$7</f>
        <v>#VALUE!</v>
      </c>
      <c r="AR6" s="27"/>
      <c r="AS6" s="156" t="e">
        <f aca="false">AS7/$AO$7</f>
        <v>#VALUE!</v>
      </c>
      <c r="AT6" s="156" t="e">
        <f aca="false">AT7/$AO$7</f>
        <v>#VALUE!</v>
      </c>
      <c r="AU6" s="156" t="e">
        <f aca="false">AU7/$AO$7</f>
        <v>#VALUE!</v>
      </c>
      <c r="AV6" s="156"/>
      <c r="AW6" s="156"/>
      <c r="AY6" s="197"/>
      <c r="AZ6" s="197"/>
      <c r="BA6" s="197"/>
      <c r="BC6" s="196"/>
      <c r="BD6" s="156"/>
    </row>
    <row r="7" customFormat="false" ht="12.75" hidden="false" customHeight="false" outlineLevel="0" collapsed="false">
      <c r="A7" s="27" t="s">
        <v>118</v>
      </c>
      <c r="B7" s="27"/>
      <c r="C7" s="27"/>
      <c r="E7" s="27"/>
      <c r="F7" s="198" t="e">
        <f aca="false">SUM(F8:F288)</f>
        <v>#VALUE!</v>
      </c>
      <c r="H7" s="27"/>
      <c r="J7" s="27"/>
      <c r="K7" s="27"/>
      <c r="L7" s="27"/>
      <c r="U7" s="199" t="e">
        <f aca="false">SUM(U8:U288)</f>
        <v>#VALUE!</v>
      </c>
      <c r="W7" s="193"/>
      <c r="X7" s="193"/>
      <c r="Y7" s="193"/>
      <c r="AH7" s="200"/>
      <c r="AI7" s="199"/>
      <c r="AJ7" s="27"/>
      <c r="AL7" s="27"/>
      <c r="AM7" s="27"/>
      <c r="AO7" s="199" t="e">
        <f aca="false">SUM(AO8:AO288)</f>
        <v>#VALUE!</v>
      </c>
      <c r="AP7" s="27"/>
      <c r="AQ7" s="199" t="e">
        <f aca="false">SUM(AQ8:AQ288)</f>
        <v>#VALUE!</v>
      </c>
      <c r="AR7" s="27"/>
      <c r="AS7" s="199" t="e">
        <f aca="false">SUM(AS8:AS288)</f>
        <v>#VALUE!</v>
      </c>
      <c r="AT7" s="199" t="e">
        <f aca="false">SUM(AT8:AT288)</f>
        <v>#VALUE!</v>
      </c>
      <c r="AU7" s="199" t="e">
        <f aca="false">SUM(AU8:AU288)</f>
        <v>#VALUE!</v>
      </c>
      <c r="AV7" s="199"/>
      <c r="AW7" s="199"/>
      <c r="AY7" s="200"/>
      <c r="AZ7" s="200"/>
      <c r="BA7" s="200"/>
      <c r="BC7" s="200"/>
    </row>
    <row r="8" customFormat="false" ht="12.75" hidden="false" customHeight="false" outlineLevel="0" collapsed="false">
      <c r="A8" s="167" t="n">
        <f aca="false">Start_Date</f>
        <v>37226</v>
      </c>
      <c r="B8" s="201" t="e">
        <f aca="false">A9-A8</f>
        <v>#VALUE!</v>
      </c>
      <c r="C8" s="202" t="e">
        <f aca="false">IF(Control!$F$18="Physical",Model!A9+24,Model!A9)</f>
        <v>#VALUE!</v>
      </c>
      <c r="E8" s="203" t="n">
        <f aca="false">IF($A8&lt;End_Date,IF(Control!$C$20="Flat",Control!$C$21,VLOOKUP(Model!$A8,Euro!$B$29:$D$182,3)),0)</f>
        <v>5000</v>
      </c>
      <c r="F8" s="203" t="e">
        <f aca="false">E8*B8</f>
        <v>#VALUE!</v>
      </c>
      <c r="H8" s="204" t="n">
        <f aca="false">IF(Control!$C$27="Mid",VLOOKUP($A8,CurveFetch!$D$8:$F$367,3),VLOOKUP($A8,Euro!$B$29:$I$182,8))</f>
        <v>3.29</v>
      </c>
      <c r="I8" s="204"/>
      <c r="J8" s="204" t="n">
        <f aca="false">IF($J$4="Mid",VLOOKUP($A8,Curve_Fetch,VLOOKUP(Control!$AJ$10,Control!$AI$11:$AK$22,3)),VLOOKUP($A8,Euro!$B$29:$M$182,12))</f>
        <v>-0.34</v>
      </c>
      <c r="K8" s="205" t="n">
        <f aca="false">IF(Control!$F$18="Physical",IF($K$4="Mid",VLOOKUP($A8,Curve_Fetch,VLOOKUP(Control!$AJ$10,Control!$AI$11:$AL$22,4)),VLOOKUP($A8,Euro!$B$29:$Q$182,16)),0)</f>
        <v>-0.01</v>
      </c>
      <c r="L8" s="204" t="n">
        <f aca="false">SUM(J8:K8)</f>
        <v>-0.35</v>
      </c>
      <c r="M8" s="204"/>
      <c r="N8" s="206" t="n">
        <f aca="false">L8+H8</f>
        <v>2.94</v>
      </c>
      <c r="O8" s="206" t="n">
        <f aca="false">N8+Control!$C$39</f>
        <v>2.94</v>
      </c>
      <c r="P8" s="207" t="n">
        <f aca="false">VLOOKUP($A8,CurveFetch!$D$8:$E$367,2)</f>
        <v>0.0238699204803896</v>
      </c>
      <c r="Q8" s="208" t="n">
        <f aca="false">P8</f>
        <v>0.0238699204803896</v>
      </c>
      <c r="R8" s="209" t="n">
        <f aca="true">A8-1-TODAY()</f>
        <v>-8701</v>
      </c>
      <c r="S8" s="210" t="n">
        <f aca="false">VLOOKUP($A8,Curve_Fetch,VLOOKUP(Control!$AJ$10,Control!$AI$11:$AM$22,5))</f>
        <v>0.875</v>
      </c>
      <c r="T8" s="211" t="e">
        <f aca="false">EURO(N8,O8,P8,Q8,S8,R8,IF(Control!$C$38="Call",1,0),0)</f>
        <v>#NAME?</v>
      </c>
      <c r="U8" s="174" t="e">
        <f aca="false">T8*B8*E8</f>
        <v>#VALUE!</v>
      </c>
      <c r="V8" s="212"/>
      <c r="W8" s="213"/>
      <c r="X8" s="213"/>
      <c r="Y8" s="213"/>
      <c r="AA8" s="214"/>
      <c r="AB8" s="214"/>
      <c r="AC8" s="215"/>
      <c r="AD8" s="216"/>
      <c r="AE8" s="217"/>
      <c r="AF8" s="218"/>
      <c r="AG8" s="219"/>
      <c r="AH8" s="220"/>
      <c r="AI8" s="174"/>
      <c r="AJ8" s="171" t="n">
        <f aca="false">Y8-L8</f>
        <v>0.35</v>
      </c>
      <c r="AL8" s="208" t="e">
        <f aca="false">VLOOKUP($C8,Curve_Fetch,2)+Cost_of_Funds</f>
        <v>#VALUE!</v>
      </c>
      <c r="AM8" s="221" t="e">
        <f aca="false">1/(1+AL8/Comp_Per)^(Comp_Per*(C8-Val_Date)/Days_in_Year)</f>
        <v>#VALUE!</v>
      </c>
      <c r="AO8" s="222" t="e">
        <f aca="false">$B8*$E8*$AM8</f>
        <v>#VALUE!</v>
      </c>
      <c r="AP8" s="222"/>
      <c r="AQ8" s="222" t="e">
        <f aca="false">H8*AO8</f>
        <v>#VALUE!</v>
      </c>
      <c r="AR8" s="222"/>
      <c r="AS8" s="174" t="e">
        <f aca="false">J8*$AO8</f>
        <v>#VALUE!</v>
      </c>
      <c r="AT8" s="174" t="e">
        <f aca="false">K8*$AO8</f>
        <v>#VALUE!</v>
      </c>
      <c r="AU8" s="174" t="e">
        <f aca="false">L8*$AO8</f>
        <v>#VALUE!</v>
      </c>
      <c r="AV8" s="174"/>
      <c r="AW8" s="174"/>
      <c r="AY8" s="220"/>
      <c r="AZ8" s="220"/>
      <c r="BA8" s="223"/>
      <c r="BC8" s="220"/>
      <c r="BE8" s="206"/>
    </row>
    <row r="9" customFormat="false" ht="12.75" hidden="false" customHeight="false" outlineLevel="0" collapsed="false">
      <c r="A9" s="167" t="e">
        <f aca="false">([1]!edate,A8,1)</f>
        <v>#VALUE!</v>
      </c>
      <c r="B9" s="201" t="e">
        <f aca="false">A10-A9</f>
        <v>#VALUE!</v>
      </c>
      <c r="C9" s="202" t="e">
        <f aca="false">IF(Control!$F$18="Physical",Model!A10+24,Model!A10)</f>
        <v>#VALUE!</v>
      </c>
      <c r="E9" s="203" t="e">
        <f aca="false">IF($A9&lt;End_Date,IF(Control!$C$20="Flat",Control!$C$21,VLOOKUP(Model!$A9,Euro!$B$29:$D$182,3)),0)</f>
        <v>#VALUE!</v>
      </c>
      <c r="F9" s="203" t="e">
        <f aca="false">E9*B9</f>
        <v>#VALUE!</v>
      </c>
      <c r="H9" s="204" t="e">
        <f aca="false">IF(Control!$C$27="Mid",VLOOKUP($A9,CurveFetch!$D$8:$F$367,3),VLOOKUP($A9,Euro!$B$29:$I$182,8))</f>
        <v>#VALUE!</v>
      </c>
      <c r="I9" s="204"/>
      <c r="J9" s="204" t="e">
        <f aca="false">IF($J$4="Mid",VLOOKUP($A9,Curve_Fetch,VLOOKUP(Control!$AJ$10,Control!$AI$11:$AK$22,3)),VLOOKUP($A9,Euro!$B$29:$M$182,12))</f>
        <v>#VALUE!</v>
      </c>
      <c r="K9" s="205" t="e">
        <f aca="false">IF(Control!$F$18="Physical",IF($K$4="Mid",VLOOKUP($A9,Curve_Fetch,VLOOKUP(Control!$AJ$10,Control!$AI$11:$AL$22,4)),VLOOKUP($A9,Euro!$B$29:$Q$182,16)),0)</f>
        <v>#VALUE!</v>
      </c>
      <c r="L9" s="204" t="e">
        <f aca="false">SUM(J9:K9)</f>
        <v>#VALUE!</v>
      </c>
      <c r="M9" s="204"/>
      <c r="N9" s="206" t="e">
        <f aca="false">L9+H9</f>
        <v>#VALUE!</v>
      </c>
      <c r="O9" s="206" t="e">
        <f aca="false">N9+Control!$C$39</f>
        <v>#VALUE!</v>
      </c>
      <c r="P9" s="207" t="e">
        <f aca="false">VLOOKUP($A9,CurveFetch!$D$8:$E$367,2)</f>
        <v>#VALUE!</v>
      </c>
      <c r="Q9" s="208" t="e">
        <f aca="false">P9</f>
        <v>#VALUE!</v>
      </c>
      <c r="R9" s="209" t="e">
        <f aca="true">A9-1-TODAY()</f>
        <v>#VALUE!</v>
      </c>
      <c r="S9" s="210" t="e">
        <f aca="false">VLOOKUP($A9,Curve_Fetch,VLOOKUP(Control!$AJ$10,Control!$AI$11:$AM$22,5))</f>
        <v>#VALUE!</v>
      </c>
      <c r="T9" s="211" t="e">
        <f aca="false">EURO(N9,O9,P9,Q9,S9,R9,IF(Control!$C$38="Call",1,0),0)</f>
        <v>#NAME?</v>
      </c>
      <c r="U9" s="174" t="e">
        <f aca="false">T9*B9*E9</f>
        <v>#VALUE!</v>
      </c>
      <c r="V9" s="212"/>
      <c r="W9" s="213"/>
      <c r="X9" s="213"/>
      <c r="Y9" s="213"/>
      <c r="AA9" s="214"/>
      <c r="AB9" s="214"/>
      <c r="AC9" s="215"/>
      <c r="AD9" s="216"/>
      <c r="AE9" s="217"/>
      <c r="AF9" s="218"/>
      <c r="AG9" s="219"/>
      <c r="AH9" s="220"/>
      <c r="AI9" s="174"/>
      <c r="AJ9" s="171" t="e">
        <f aca="false">Y9-L9</f>
        <v>#VALUE!</v>
      </c>
      <c r="AL9" s="208" t="e">
        <f aca="false">VLOOKUP($C9,Curve_Fetch,2)+Cost_of_Funds</f>
        <v>#VALUE!</v>
      </c>
      <c r="AM9" s="221" t="e">
        <f aca="false">1/(1+AL9/2)^(2*(C9-Val_Date)/365.25)</f>
        <v>#VALUE!</v>
      </c>
      <c r="AO9" s="222" t="e">
        <f aca="false">$B9*$E9*$AM9</f>
        <v>#VALUE!</v>
      </c>
      <c r="AP9" s="222"/>
      <c r="AQ9" s="222" t="e">
        <f aca="false">H9*AO9</f>
        <v>#VALUE!</v>
      </c>
      <c r="AR9" s="222"/>
      <c r="AS9" s="174" t="e">
        <f aca="false">J9*$AO9</f>
        <v>#VALUE!</v>
      </c>
      <c r="AT9" s="174" t="e">
        <f aca="false">K9*$AO9</f>
        <v>#VALUE!</v>
      </c>
      <c r="AU9" s="174" t="e">
        <f aca="false">L9*$AO9</f>
        <v>#VALUE!</v>
      </c>
      <c r="AV9" s="174"/>
      <c r="AW9" s="174"/>
      <c r="AY9" s="220"/>
      <c r="AZ9" s="220"/>
      <c r="BA9" s="223"/>
      <c r="BC9" s="220"/>
      <c r="BE9" s="206"/>
    </row>
    <row r="10" customFormat="false" ht="12.75" hidden="false" customHeight="false" outlineLevel="0" collapsed="false">
      <c r="A10" s="167" t="e">
        <f aca="false">([1]!edate,A9,1)</f>
        <v>#VALUE!</v>
      </c>
      <c r="B10" s="201" t="e">
        <f aca="false">A11-A10</f>
        <v>#VALUE!</v>
      </c>
      <c r="C10" s="202" t="e">
        <f aca="false">IF(Control!$F$18="Physical",Model!A11+24,Model!A11)</f>
        <v>#VALUE!</v>
      </c>
      <c r="E10" s="203" t="e">
        <f aca="false">IF($A10&lt;End_Date,IF(Control!$C$20="Flat",Control!$C$21,VLOOKUP(Model!$A10,Euro!$B$29:$D$182,3)),0)</f>
        <v>#VALUE!</v>
      </c>
      <c r="F10" s="203" t="e">
        <f aca="false">E10*B10</f>
        <v>#VALUE!</v>
      </c>
      <c r="H10" s="204" t="e">
        <f aca="false">IF(Control!$C$27="Mid",VLOOKUP($A10,CurveFetch!$D$8:$F$367,3),VLOOKUP($A10,Euro!$B$29:$I$182,8))</f>
        <v>#VALUE!</v>
      </c>
      <c r="I10" s="204"/>
      <c r="J10" s="204" t="e">
        <f aca="false">IF($J$4="Mid",VLOOKUP($A10,Curve_Fetch,VLOOKUP(Control!$AJ$10,Control!$AI$11:$AK$22,3)),VLOOKUP($A10,Euro!$B$29:$M$182,12))</f>
        <v>#VALUE!</v>
      </c>
      <c r="K10" s="205" t="e">
        <f aca="false">IF(Control!$F$18="Physical",IF($K$4="Mid",VLOOKUP($A10,Curve_Fetch,VLOOKUP(Control!$AJ$10,Control!$AI$11:$AL$22,4)),VLOOKUP($A10,Euro!$B$29:$Q$182,16)),0)</f>
        <v>#VALUE!</v>
      </c>
      <c r="L10" s="204" t="e">
        <f aca="false">SUM(J10:K10)</f>
        <v>#VALUE!</v>
      </c>
      <c r="M10" s="204"/>
      <c r="N10" s="206" t="e">
        <f aca="false">L10+H10</f>
        <v>#VALUE!</v>
      </c>
      <c r="O10" s="206" t="e">
        <f aca="false">N10+Control!$C$39</f>
        <v>#VALUE!</v>
      </c>
      <c r="P10" s="207" t="e">
        <f aca="false">VLOOKUP($A10,CurveFetch!$D$8:$E$367,2)</f>
        <v>#VALUE!</v>
      </c>
      <c r="Q10" s="208" t="e">
        <f aca="false">P10</f>
        <v>#VALUE!</v>
      </c>
      <c r="R10" s="209" t="e">
        <f aca="true">A10-1-TODAY()</f>
        <v>#VALUE!</v>
      </c>
      <c r="S10" s="210" t="e">
        <f aca="false">VLOOKUP($A10,Curve_Fetch,VLOOKUP(Control!$AJ$10,Control!$AI$11:$AM$22,5))</f>
        <v>#VALUE!</v>
      </c>
      <c r="T10" s="211" t="e">
        <f aca="false">EURO(N10,O10,P10,Q10,S10,R10,IF(Control!$C$38="Call",1,0),0)</f>
        <v>#NAME?</v>
      </c>
      <c r="U10" s="174" t="e">
        <f aca="false">T10*B10*E10</f>
        <v>#VALUE!</v>
      </c>
      <c r="V10" s="212"/>
      <c r="W10" s="213"/>
      <c r="X10" s="213"/>
      <c r="Y10" s="213"/>
      <c r="AA10" s="214"/>
      <c r="AB10" s="214"/>
      <c r="AC10" s="215"/>
      <c r="AD10" s="216"/>
      <c r="AE10" s="217"/>
      <c r="AF10" s="218"/>
      <c r="AG10" s="219"/>
      <c r="AH10" s="220"/>
      <c r="AI10" s="174"/>
      <c r="AJ10" s="171" t="e">
        <f aca="false">Y10-L10</f>
        <v>#VALUE!</v>
      </c>
      <c r="AL10" s="208" t="e">
        <f aca="false">VLOOKUP($C10,Curve_Fetch,2)+Cost_of_Funds</f>
        <v>#VALUE!</v>
      </c>
      <c r="AM10" s="221" t="e">
        <f aca="false">1/(1+AL10/2)^(2*(C10-Val_Date)/365.25)</f>
        <v>#VALUE!</v>
      </c>
      <c r="AO10" s="222" t="e">
        <f aca="false">$B10*$E10*$AM10</f>
        <v>#VALUE!</v>
      </c>
      <c r="AP10" s="222"/>
      <c r="AQ10" s="222" t="e">
        <f aca="false">H10*AO10</f>
        <v>#VALUE!</v>
      </c>
      <c r="AR10" s="222"/>
      <c r="AS10" s="174" t="e">
        <f aca="false">J10*$AO10</f>
        <v>#VALUE!</v>
      </c>
      <c r="AT10" s="174" t="e">
        <f aca="false">K10*$AO10</f>
        <v>#VALUE!</v>
      </c>
      <c r="AU10" s="174" t="e">
        <f aca="false">L10*$AO10</f>
        <v>#VALUE!</v>
      </c>
      <c r="AV10" s="174"/>
      <c r="AW10" s="174"/>
      <c r="AY10" s="220"/>
      <c r="AZ10" s="220"/>
      <c r="BA10" s="223"/>
      <c r="BC10" s="220"/>
      <c r="BE10" s="206"/>
    </row>
    <row r="11" customFormat="false" ht="12.75" hidden="false" customHeight="false" outlineLevel="0" collapsed="false">
      <c r="A11" s="167" t="e">
        <f aca="false">([1]!edate,A10,1)</f>
        <v>#VALUE!</v>
      </c>
      <c r="B11" s="201" t="e">
        <f aca="false">A12-A11</f>
        <v>#VALUE!</v>
      </c>
      <c r="C11" s="202" t="e">
        <f aca="false">IF(Control!$F$18="Physical",Model!A12+24,Model!A12)</f>
        <v>#VALUE!</v>
      </c>
      <c r="E11" s="203" t="e">
        <f aca="false">IF($A11&lt;End_Date,IF(Control!$C$20="Flat",Control!$C$21,VLOOKUP(Model!$A11,Euro!$B$29:$D$182,3)),0)</f>
        <v>#VALUE!</v>
      </c>
      <c r="F11" s="203" t="e">
        <f aca="false">E11*B11</f>
        <v>#VALUE!</v>
      </c>
      <c r="H11" s="204" t="e">
        <f aca="false">IF(Control!$C$27="Mid",VLOOKUP($A11,CurveFetch!$D$8:$F$367,3),VLOOKUP($A11,Euro!$B$29:$I$182,8))</f>
        <v>#VALUE!</v>
      </c>
      <c r="I11" s="204"/>
      <c r="J11" s="204" t="e">
        <f aca="false">IF($J$4="Mid",VLOOKUP($A11,Curve_Fetch,VLOOKUP(Control!$AJ$10,Control!$AI$11:$AK$22,3)),VLOOKUP($A11,Euro!$B$29:$M$182,12))</f>
        <v>#VALUE!</v>
      </c>
      <c r="K11" s="205" t="e">
        <f aca="false">IF(Control!$F$18="Physical",IF($K$4="Mid",VLOOKUP($A11,Curve_Fetch,VLOOKUP(Control!$AJ$10,Control!$AI$11:$AL$22,4)),VLOOKUP($A11,Euro!$B$29:$Q$182,16)),0)</f>
        <v>#VALUE!</v>
      </c>
      <c r="L11" s="204" t="e">
        <f aca="false">SUM(J11:K11)</f>
        <v>#VALUE!</v>
      </c>
      <c r="M11" s="204"/>
      <c r="N11" s="206" t="e">
        <f aca="false">L11+H11</f>
        <v>#VALUE!</v>
      </c>
      <c r="O11" s="206" t="e">
        <f aca="false">N11+Control!$C$39</f>
        <v>#VALUE!</v>
      </c>
      <c r="P11" s="207" t="e">
        <f aca="false">VLOOKUP($A11,CurveFetch!$D$8:$E$367,2)</f>
        <v>#VALUE!</v>
      </c>
      <c r="Q11" s="208" t="e">
        <f aca="false">P11</f>
        <v>#VALUE!</v>
      </c>
      <c r="R11" s="209" t="e">
        <f aca="true">A11-1-TODAY()</f>
        <v>#VALUE!</v>
      </c>
      <c r="S11" s="210" t="e">
        <f aca="false">VLOOKUP($A11,Curve_Fetch,VLOOKUP(Control!$AJ$10,Control!$AI$11:$AM$22,5))</f>
        <v>#VALUE!</v>
      </c>
      <c r="T11" s="211" t="e">
        <f aca="false">EURO(N11,O11,P11,Q11,S11,R11,IF(Control!$C$38="Call",1,0),0)</f>
        <v>#NAME?</v>
      </c>
      <c r="U11" s="174" t="e">
        <f aca="false">T11*B11*E11</f>
        <v>#VALUE!</v>
      </c>
      <c r="V11" s="212"/>
      <c r="W11" s="213"/>
      <c r="X11" s="213"/>
      <c r="Y11" s="213"/>
      <c r="AA11" s="214"/>
      <c r="AB11" s="214"/>
      <c r="AC11" s="215"/>
      <c r="AD11" s="216"/>
      <c r="AE11" s="217"/>
      <c r="AF11" s="218"/>
      <c r="AG11" s="219"/>
      <c r="AH11" s="220"/>
      <c r="AI11" s="174"/>
      <c r="AJ11" s="171" t="e">
        <f aca="false">Y11-L11</f>
        <v>#VALUE!</v>
      </c>
      <c r="AL11" s="208" t="e">
        <f aca="false">VLOOKUP($C11,Curve_Fetch,2)+Cost_of_Funds</f>
        <v>#VALUE!</v>
      </c>
      <c r="AM11" s="221" t="e">
        <f aca="false">1/(1+AL11/2)^(2*(C11-Val_Date)/365.25)</f>
        <v>#VALUE!</v>
      </c>
      <c r="AO11" s="222" t="e">
        <f aca="false">$B11*$E11*$AM11</f>
        <v>#VALUE!</v>
      </c>
      <c r="AP11" s="222"/>
      <c r="AQ11" s="222" t="e">
        <f aca="false">H11*AO11</f>
        <v>#VALUE!</v>
      </c>
      <c r="AR11" s="222"/>
      <c r="AS11" s="174" t="e">
        <f aca="false">J11*$AO11</f>
        <v>#VALUE!</v>
      </c>
      <c r="AT11" s="174" t="e">
        <f aca="false">K11*$AO11</f>
        <v>#VALUE!</v>
      </c>
      <c r="AU11" s="174" t="e">
        <f aca="false">L11*$AO11</f>
        <v>#VALUE!</v>
      </c>
      <c r="AV11" s="174"/>
      <c r="AW11" s="174"/>
      <c r="AY11" s="220"/>
      <c r="AZ11" s="220"/>
      <c r="BA11" s="223"/>
      <c r="BC11" s="220"/>
      <c r="BE11" s="206"/>
    </row>
    <row r="12" customFormat="false" ht="12.75" hidden="false" customHeight="false" outlineLevel="0" collapsed="false">
      <c r="A12" s="167" t="e">
        <f aca="false">([1]!edate,A11,1)</f>
        <v>#VALUE!</v>
      </c>
      <c r="B12" s="201" t="e">
        <f aca="false">A13-A12</f>
        <v>#VALUE!</v>
      </c>
      <c r="C12" s="202" t="e">
        <f aca="false">IF(Control!$F$18="Physical",Model!A13+24,Model!A13)</f>
        <v>#VALUE!</v>
      </c>
      <c r="E12" s="203" t="e">
        <f aca="false">IF($A12&lt;End_Date,IF(Control!$C$20="Flat",Control!$C$21,VLOOKUP(Model!$A12,Euro!$B$29:$D$182,3)),0)</f>
        <v>#VALUE!</v>
      </c>
      <c r="F12" s="203" t="e">
        <f aca="false">E12*B12</f>
        <v>#VALUE!</v>
      </c>
      <c r="H12" s="204" t="e">
        <f aca="false">IF(Control!$C$27="Mid",VLOOKUP($A12,CurveFetch!$D$8:$F$367,3),VLOOKUP($A12,Euro!$B$29:$I$182,8))</f>
        <v>#VALUE!</v>
      </c>
      <c r="I12" s="204"/>
      <c r="J12" s="204" t="e">
        <f aca="false">IF($J$4="Mid",VLOOKUP($A12,Curve_Fetch,VLOOKUP(Control!$AJ$10,Control!$AI$11:$AK$22,3)),VLOOKUP($A12,Euro!$B$29:$M$182,12))</f>
        <v>#VALUE!</v>
      </c>
      <c r="K12" s="205" t="e">
        <f aca="false">IF(Control!$F$18="Physical",IF($K$4="Mid",VLOOKUP($A12,Curve_Fetch,VLOOKUP(Control!$AJ$10,Control!$AI$11:$AL$22,4)),VLOOKUP($A12,Euro!$B$29:$Q$182,16)),0)</f>
        <v>#VALUE!</v>
      </c>
      <c r="L12" s="204" t="e">
        <f aca="false">SUM(J12:K12)</f>
        <v>#VALUE!</v>
      </c>
      <c r="M12" s="204"/>
      <c r="N12" s="206" t="e">
        <f aca="false">L12+H12</f>
        <v>#VALUE!</v>
      </c>
      <c r="O12" s="206" t="e">
        <f aca="false">N12+Control!$C$39</f>
        <v>#VALUE!</v>
      </c>
      <c r="P12" s="207" t="e">
        <f aca="false">VLOOKUP($A12,CurveFetch!$D$8:$E$367,2)</f>
        <v>#VALUE!</v>
      </c>
      <c r="Q12" s="208" t="e">
        <f aca="false">P12</f>
        <v>#VALUE!</v>
      </c>
      <c r="R12" s="209" t="e">
        <f aca="true">A12-1-TODAY()</f>
        <v>#VALUE!</v>
      </c>
      <c r="S12" s="210" t="e">
        <f aca="false">VLOOKUP($A12,Curve_Fetch,VLOOKUP(Control!$AJ$10,Control!$AI$11:$AM$22,5))</f>
        <v>#VALUE!</v>
      </c>
      <c r="T12" s="211" t="e">
        <f aca="false">EURO(N12,O12,P12,Q12,S12,R12,IF(Control!$C$38="Call",1,0),0)</f>
        <v>#NAME?</v>
      </c>
      <c r="U12" s="174" t="e">
        <f aca="false">T12*B12*E12</f>
        <v>#VALUE!</v>
      </c>
      <c r="V12" s="212"/>
      <c r="W12" s="213"/>
      <c r="X12" s="213"/>
      <c r="Y12" s="213"/>
      <c r="AA12" s="214"/>
      <c r="AB12" s="214"/>
      <c r="AC12" s="215"/>
      <c r="AD12" s="216"/>
      <c r="AE12" s="217"/>
      <c r="AF12" s="218"/>
      <c r="AG12" s="219"/>
      <c r="AH12" s="220"/>
      <c r="AI12" s="174"/>
      <c r="AJ12" s="171" t="e">
        <f aca="false">Y12-L12</f>
        <v>#VALUE!</v>
      </c>
      <c r="AL12" s="208" t="e">
        <f aca="false">VLOOKUP($C12,Curve_Fetch,2)+Cost_of_Funds</f>
        <v>#VALUE!</v>
      </c>
      <c r="AM12" s="221" t="e">
        <f aca="false">1/(1+AL12/2)^(2*(C12-Val_Date)/365.25)</f>
        <v>#VALUE!</v>
      </c>
      <c r="AO12" s="222" t="e">
        <f aca="false">$B12*$E12*$AM12</f>
        <v>#VALUE!</v>
      </c>
      <c r="AP12" s="222"/>
      <c r="AQ12" s="222" t="e">
        <f aca="false">H12*AO12</f>
        <v>#VALUE!</v>
      </c>
      <c r="AR12" s="222"/>
      <c r="AS12" s="174" t="e">
        <f aca="false">J12*$AO12</f>
        <v>#VALUE!</v>
      </c>
      <c r="AT12" s="174" t="e">
        <f aca="false">K12*$AO12</f>
        <v>#VALUE!</v>
      </c>
      <c r="AU12" s="174" t="e">
        <f aca="false">L12*$AO12</f>
        <v>#VALUE!</v>
      </c>
      <c r="AV12" s="174"/>
      <c r="AW12" s="174"/>
      <c r="AY12" s="220"/>
      <c r="AZ12" s="220"/>
      <c r="BA12" s="223"/>
      <c r="BC12" s="220"/>
      <c r="BE12" s="206"/>
    </row>
    <row r="13" customFormat="false" ht="12.75" hidden="false" customHeight="false" outlineLevel="0" collapsed="false">
      <c r="A13" s="167" t="e">
        <f aca="false">([1]!edate,A12,1)</f>
        <v>#VALUE!</v>
      </c>
      <c r="B13" s="201" t="e">
        <f aca="false">A14-A13</f>
        <v>#VALUE!</v>
      </c>
      <c r="C13" s="202" t="e">
        <f aca="false">IF(Control!$F$18="Physical",Model!A14+24,Model!A14)</f>
        <v>#VALUE!</v>
      </c>
      <c r="E13" s="203" t="e">
        <f aca="false">IF($A13&lt;End_Date,IF(Control!$C$20="Flat",Control!$C$21,VLOOKUP(Model!$A13,Euro!$B$29:$D$182,3)),0)</f>
        <v>#VALUE!</v>
      </c>
      <c r="F13" s="203" t="e">
        <f aca="false">E13*B13</f>
        <v>#VALUE!</v>
      </c>
      <c r="H13" s="204" t="e">
        <f aca="false">IF(Control!$C$27="Mid",VLOOKUP($A13,CurveFetch!$D$8:$F$367,3),VLOOKUP($A13,Euro!$B$29:$I$182,8))</f>
        <v>#VALUE!</v>
      </c>
      <c r="I13" s="204"/>
      <c r="J13" s="204" t="e">
        <f aca="false">IF($J$4="Mid",VLOOKUP($A13,Curve_Fetch,VLOOKUP(Control!$AJ$10,Control!$AI$11:$AK$22,3)),VLOOKUP($A13,Euro!$B$29:$M$182,12))</f>
        <v>#VALUE!</v>
      </c>
      <c r="K13" s="205" t="e">
        <f aca="false">IF(Control!$F$18="Physical",IF($K$4="Mid",VLOOKUP($A13,Curve_Fetch,VLOOKUP(Control!$AJ$10,Control!$AI$11:$AL$22,4)),VLOOKUP($A13,Euro!$B$29:$Q$182,16)),0)</f>
        <v>#VALUE!</v>
      </c>
      <c r="L13" s="204" t="e">
        <f aca="false">SUM(J13:K13)</f>
        <v>#VALUE!</v>
      </c>
      <c r="M13" s="204"/>
      <c r="N13" s="206" t="e">
        <f aca="false">L13+H13</f>
        <v>#VALUE!</v>
      </c>
      <c r="O13" s="206" t="e">
        <f aca="false">N13+Control!$C$39</f>
        <v>#VALUE!</v>
      </c>
      <c r="P13" s="207" t="e">
        <f aca="false">VLOOKUP($A13,CurveFetch!$D$8:$E$367,2)</f>
        <v>#VALUE!</v>
      </c>
      <c r="Q13" s="208" t="e">
        <f aca="false">P13</f>
        <v>#VALUE!</v>
      </c>
      <c r="R13" s="209" t="e">
        <f aca="true">A13-1-TODAY()</f>
        <v>#VALUE!</v>
      </c>
      <c r="S13" s="210" t="e">
        <f aca="false">VLOOKUP($A13,Curve_Fetch,VLOOKUP(Control!$AJ$10,Control!$AI$11:$AM$22,5))</f>
        <v>#VALUE!</v>
      </c>
      <c r="T13" s="211" t="e">
        <f aca="false">EURO(N13,O13,P13,Q13,S13,R13,IF(Control!$C$38="Call",1,0),0)</f>
        <v>#NAME?</v>
      </c>
      <c r="U13" s="174" t="e">
        <f aca="false">T13*B13*E13</f>
        <v>#VALUE!</v>
      </c>
      <c r="V13" s="212"/>
      <c r="W13" s="213"/>
      <c r="X13" s="213"/>
      <c r="Y13" s="213"/>
      <c r="AA13" s="214"/>
      <c r="AB13" s="214"/>
      <c r="AC13" s="215"/>
      <c r="AD13" s="216"/>
      <c r="AE13" s="217"/>
      <c r="AF13" s="218"/>
      <c r="AG13" s="219"/>
      <c r="AH13" s="220"/>
      <c r="AI13" s="174"/>
      <c r="AJ13" s="171" t="e">
        <f aca="false">Y13-L13</f>
        <v>#VALUE!</v>
      </c>
      <c r="AL13" s="208" t="e">
        <f aca="false">VLOOKUP($C13,Curve_Fetch,2)+Cost_of_Funds</f>
        <v>#VALUE!</v>
      </c>
      <c r="AM13" s="221" t="e">
        <f aca="false">1/(1+AL13/2)^(2*(C13-Val_Date)/365.25)</f>
        <v>#VALUE!</v>
      </c>
      <c r="AO13" s="222" t="e">
        <f aca="false">$B13*$E13*$AM13</f>
        <v>#VALUE!</v>
      </c>
      <c r="AP13" s="222"/>
      <c r="AQ13" s="222" t="e">
        <f aca="false">H13*AO13</f>
        <v>#VALUE!</v>
      </c>
      <c r="AR13" s="222"/>
      <c r="AS13" s="174" t="e">
        <f aca="false">J13*$AO13</f>
        <v>#VALUE!</v>
      </c>
      <c r="AT13" s="174" t="e">
        <f aca="false">K13*$AO13</f>
        <v>#VALUE!</v>
      </c>
      <c r="AU13" s="174" t="e">
        <f aca="false">L13*$AO13</f>
        <v>#VALUE!</v>
      </c>
      <c r="AV13" s="174"/>
      <c r="AW13" s="174"/>
      <c r="AY13" s="220"/>
      <c r="AZ13" s="220"/>
      <c r="BA13" s="223"/>
      <c r="BC13" s="220"/>
      <c r="BE13" s="206"/>
    </row>
    <row r="14" customFormat="false" ht="12.75" hidden="false" customHeight="false" outlineLevel="0" collapsed="false">
      <c r="A14" s="167" t="e">
        <f aca="false">([1]!edate,A13,1)</f>
        <v>#VALUE!</v>
      </c>
      <c r="B14" s="201" t="e">
        <f aca="false">A15-A14</f>
        <v>#VALUE!</v>
      </c>
      <c r="C14" s="202" t="e">
        <f aca="false">IF(Control!$F$18="Physical",Model!A15+24,Model!A15)</f>
        <v>#VALUE!</v>
      </c>
      <c r="E14" s="203" t="e">
        <f aca="false">IF($A14&lt;End_Date,IF(Control!$C$20="Flat",Control!$C$21,VLOOKUP(Model!$A14,Euro!$B$29:$D$182,3)),0)</f>
        <v>#VALUE!</v>
      </c>
      <c r="F14" s="203" t="e">
        <f aca="false">E14*B14</f>
        <v>#VALUE!</v>
      </c>
      <c r="H14" s="204" t="e">
        <f aca="false">IF(Control!$C$27="Mid",VLOOKUP($A14,CurveFetch!$D$8:$F$367,3),VLOOKUP($A14,Euro!$B$29:$I$182,8))</f>
        <v>#VALUE!</v>
      </c>
      <c r="I14" s="204"/>
      <c r="J14" s="204" t="e">
        <f aca="false">IF($J$4="Mid",VLOOKUP($A14,Curve_Fetch,VLOOKUP(Control!$AJ$10,Control!$AI$11:$AK$22,3)),VLOOKUP($A14,Euro!$B$29:$M$182,12))</f>
        <v>#VALUE!</v>
      </c>
      <c r="K14" s="205" t="e">
        <f aca="false">IF(Control!$F$18="Physical",IF($K$4="Mid",VLOOKUP($A14,Curve_Fetch,VLOOKUP(Control!$AJ$10,Control!$AI$11:$AL$22,4)),VLOOKUP($A14,Euro!$B$29:$Q$182,16)),0)</f>
        <v>#VALUE!</v>
      </c>
      <c r="L14" s="204" t="e">
        <f aca="false">SUM(J14:K14)</f>
        <v>#VALUE!</v>
      </c>
      <c r="M14" s="204"/>
      <c r="N14" s="206" t="e">
        <f aca="false">L14+H14</f>
        <v>#VALUE!</v>
      </c>
      <c r="O14" s="206" t="e">
        <f aca="false">N14+Control!$C$39</f>
        <v>#VALUE!</v>
      </c>
      <c r="P14" s="207" t="e">
        <f aca="false">VLOOKUP($A14,CurveFetch!$D$8:$E$367,2)</f>
        <v>#VALUE!</v>
      </c>
      <c r="Q14" s="208" t="e">
        <f aca="false">P14</f>
        <v>#VALUE!</v>
      </c>
      <c r="R14" s="209" t="e">
        <f aca="true">A14-1-TODAY()</f>
        <v>#VALUE!</v>
      </c>
      <c r="S14" s="210" t="e">
        <f aca="false">VLOOKUP($A14,Curve_Fetch,VLOOKUP(Control!$AJ$10,Control!$AI$11:$AM$22,5))</f>
        <v>#VALUE!</v>
      </c>
      <c r="T14" s="211" t="e">
        <f aca="false">EURO(N14,O14,P14,Q14,S14,R14,IF(Control!$C$38="Call",1,0),0)</f>
        <v>#NAME?</v>
      </c>
      <c r="U14" s="174" t="e">
        <f aca="false">T14*B14*E14</f>
        <v>#VALUE!</v>
      </c>
      <c r="V14" s="212"/>
      <c r="W14" s="213"/>
      <c r="X14" s="213"/>
      <c r="Y14" s="213"/>
      <c r="AA14" s="214"/>
      <c r="AB14" s="214"/>
      <c r="AC14" s="215"/>
      <c r="AD14" s="216"/>
      <c r="AE14" s="217"/>
      <c r="AF14" s="218"/>
      <c r="AG14" s="219"/>
      <c r="AH14" s="220"/>
      <c r="AI14" s="174"/>
      <c r="AJ14" s="171" t="e">
        <f aca="false">Y14-L14</f>
        <v>#VALUE!</v>
      </c>
      <c r="AL14" s="208" t="e">
        <f aca="false">VLOOKUP($C14,Curve_Fetch,2)+Cost_of_Funds</f>
        <v>#VALUE!</v>
      </c>
      <c r="AM14" s="221" t="e">
        <f aca="false">1/(1+AL14/2)^(2*(C14-Val_Date)/365.25)</f>
        <v>#VALUE!</v>
      </c>
      <c r="AO14" s="222" t="e">
        <f aca="false">$B14*$E14*$AM14</f>
        <v>#VALUE!</v>
      </c>
      <c r="AP14" s="222"/>
      <c r="AQ14" s="222" t="e">
        <f aca="false">H14*AO14</f>
        <v>#VALUE!</v>
      </c>
      <c r="AR14" s="222"/>
      <c r="AS14" s="174" t="e">
        <f aca="false">J14*$AO14</f>
        <v>#VALUE!</v>
      </c>
      <c r="AT14" s="174" t="e">
        <f aca="false">K14*$AO14</f>
        <v>#VALUE!</v>
      </c>
      <c r="AU14" s="174" t="e">
        <f aca="false">L14*$AO14</f>
        <v>#VALUE!</v>
      </c>
      <c r="AV14" s="174"/>
      <c r="AW14" s="174"/>
      <c r="AY14" s="220"/>
      <c r="AZ14" s="220"/>
      <c r="BA14" s="223"/>
      <c r="BC14" s="220"/>
      <c r="BE14" s="206"/>
    </row>
    <row r="15" customFormat="false" ht="12.75" hidden="false" customHeight="false" outlineLevel="0" collapsed="false">
      <c r="A15" s="167" t="e">
        <f aca="false">([1]!edate,A14,1)</f>
        <v>#VALUE!</v>
      </c>
      <c r="B15" s="201" t="e">
        <f aca="false">A16-A15</f>
        <v>#VALUE!</v>
      </c>
      <c r="C15" s="202" t="e">
        <f aca="false">IF(Control!$F$18="Physical",Model!A16+24,Model!A16)</f>
        <v>#VALUE!</v>
      </c>
      <c r="E15" s="203" t="e">
        <f aca="false">IF($A15&lt;End_Date,IF(Control!$C$20="Flat",Control!$C$21,VLOOKUP(Model!$A15,Euro!$B$29:$D$182,3)),0)</f>
        <v>#VALUE!</v>
      </c>
      <c r="F15" s="203" t="e">
        <f aca="false">E15*B15</f>
        <v>#VALUE!</v>
      </c>
      <c r="H15" s="204" t="e">
        <f aca="false">IF(Control!$C$27="Mid",VLOOKUP($A15,CurveFetch!$D$8:$F$367,3),VLOOKUP($A15,Euro!$B$29:$I$182,8))</f>
        <v>#VALUE!</v>
      </c>
      <c r="I15" s="204"/>
      <c r="J15" s="204" t="e">
        <f aca="false">IF($J$4="Mid",VLOOKUP($A15,Curve_Fetch,VLOOKUP(Control!$AJ$10,Control!$AI$11:$AK$22,3)),VLOOKUP($A15,Euro!$B$29:$M$182,12))</f>
        <v>#VALUE!</v>
      </c>
      <c r="K15" s="205" t="e">
        <f aca="false">IF(Control!$F$18="Physical",IF($K$4="Mid",VLOOKUP($A15,Curve_Fetch,VLOOKUP(Control!$AJ$10,Control!$AI$11:$AL$22,4)),VLOOKUP($A15,Euro!$B$29:$Q$182,16)),0)</f>
        <v>#VALUE!</v>
      </c>
      <c r="L15" s="204" t="e">
        <f aca="false">SUM(J15:K15)</f>
        <v>#VALUE!</v>
      </c>
      <c r="M15" s="204"/>
      <c r="N15" s="206" t="e">
        <f aca="false">L15+H15</f>
        <v>#VALUE!</v>
      </c>
      <c r="O15" s="206" t="e">
        <f aca="false">N15+Control!$C$39</f>
        <v>#VALUE!</v>
      </c>
      <c r="P15" s="207" t="e">
        <f aca="false">VLOOKUP($A15,CurveFetch!$D$8:$E$367,2)</f>
        <v>#VALUE!</v>
      </c>
      <c r="Q15" s="208" t="e">
        <f aca="false">P15</f>
        <v>#VALUE!</v>
      </c>
      <c r="R15" s="209" t="e">
        <f aca="true">A15-1-TODAY()</f>
        <v>#VALUE!</v>
      </c>
      <c r="S15" s="210" t="e">
        <f aca="false">VLOOKUP($A15,Curve_Fetch,VLOOKUP(Control!$AJ$10,Control!$AI$11:$AM$22,5))</f>
        <v>#VALUE!</v>
      </c>
      <c r="T15" s="211" t="e">
        <f aca="false">EURO(N15,O15,P15,Q15,S15,R15,IF(Control!$C$38="Call",1,0),0)</f>
        <v>#NAME?</v>
      </c>
      <c r="U15" s="174" t="e">
        <f aca="false">T15*B15*E15</f>
        <v>#VALUE!</v>
      </c>
      <c r="V15" s="212"/>
      <c r="W15" s="213"/>
      <c r="X15" s="213"/>
      <c r="Y15" s="213"/>
      <c r="AA15" s="214"/>
      <c r="AB15" s="214"/>
      <c r="AC15" s="215"/>
      <c r="AD15" s="216"/>
      <c r="AE15" s="217"/>
      <c r="AF15" s="218"/>
      <c r="AG15" s="219"/>
      <c r="AH15" s="220"/>
      <c r="AI15" s="174"/>
      <c r="AJ15" s="171" t="e">
        <f aca="false">Y15-L15</f>
        <v>#VALUE!</v>
      </c>
      <c r="AL15" s="208" t="e">
        <f aca="false">VLOOKUP($C15,Curve_Fetch,2)+Cost_of_Funds</f>
        <v>#VALUE!</v>
      </c>
      <c r="AM15" s="221" t="e">
        <f aca="false">1/(1+AL15/2)^(2*(C15-Val_Date)/365.25)</f>
        <v>#VALUE!</v>
      </c>
      <c r="AO15" s="222" t="e">
        <f aca="false">$B15*$E15*$AM15</f>
        <v>#VALUE!</v>
      </c>
      <c r="AP15" s="222"/>
      <c r="AQ15" s="222" t="e">
        <f aca="false">H15*AO15</f>
        <v>#VALUE!</v>
      </c>
      <c r="AR15" s="222"/>
      <c r="AS15" s="174" t="e">
        <f aca="false">J15*$AO15</f>
        <v>#VALUE!</v>
      </c>
      <c r="AT15" s="174" t="e">
        <f aca="false">K15*$AO15</f>
        <v>#VALUE!</v>
      </c>
      <c r="AU15" s="174" t="e">
        <f aca="false">L15*$AO15</f>
        <v>#VALUE!</v>
      </c>
      <c r="AV15" s="174"/>
      <c r="AW15" s="174"/>
      <c r="AY15" s="220"/>
      <c r="AZ15" s="220"/>
      <c r="BA15" s="223"/>
      <c r="BC15" s="220"/>
      <c r="BE15" s="206"/>
    </row>
    <row r="16" customFormat="false" ht="12.75" hidden="false" customHeight="false" outlineLevel="0" collapsed="false">
      <c r="A16" s="167" t="e">
        <f aca="false">([1]!edate,A15,1)</f>
        <v>#VALUE!</v>
      </c>
      <c r="B16" s="201" t="e">
        <f aca="false">A17-A16</f>
        <v>#VALUE!</v>
      </c>
      <c r="C16" s="202" t="e">
        <f aca="false">IF(Control!$F$18="Physical",Model!A17+24,Model!A17)</f>
        <v>#VALUE!</v>
      </c>
      <c r="E16" s="203" t="e">
        <f aca="false">IF($A16&lt;End_Date,IF(Control!$C$20="Flat",Control!$C$21,VLOOKUP(Model!$A16,Euro!$B$29:$D$182,3)),0)</f>
        <v>#VALUE!</v>
      </c>
      <c r="F16" s="203" t="e">
        <f aca="false">E16*B16</f>
        <v>#VALUE!</v>
      </c>
      <c r="H16" s="204" t="e">
        <f aca="false">IF(Control!$C$27="Mid",VLOOKUP($A16,CurveFetch!$D$8:$F$367,3),VLOOKUP($A16,Euro!$B$29:$I$182,8))</f>
        <v>#VALUE!</v>
      </c>
      <c r="I16" s="204"/>
      <c r="J16" s="204" t="e">
        <f aca="false">IF($J$4="Mid",VLOOKUP($A16,Curve_Fetch,VLOOKUP(Control!$AJ$10,Control!$AI$11:$AK$22,3)),VLOOKUP($A16,Euro!$B$29:$M$182,12))</f>
        <v>#VALUE!</v>
      </c>
      <c r="K16" s="205" t="e">
        <f aca="false">IF(Control!$F$18="Physical",IF($K$4="Mid",VLOOKUP($A16,Curve_Fetch,VLOOKUP(Control!$AJ$10,Control!$AI$11:$AL$22,4)),VLOOKUP($A16,Euro!$B$29:$Q$182,16)),0)</f>
        <v>#VALUE!</v>
      </c>
      <c r="L16" s="204" t="e">
        <f aca="false">SUM(J16:K16)</f>
        <v>#VALUE!</v>
      </c>
      <c r="M16" s="204"/>
      <c r="N16" s="206" t="e">
        <f aca="false">L16+H16</f>
        <v>#VALUE!</v>
      </c>
      <c r="O16" s="206" t="e">
        <f aca="false">N16+Control!$C$39</f>
        <v>#VALUE!</v>
      </c>
      <c r="P16" s="207" t="e">
        <f aca="false">VLOOKUP($A16,CurveFetch!$D$8:$E$367,2)</f>
        <v>#VALUE!</v>
      </c>
      <c r="Q16" s="208" t="e">
        <f aca="false">P16</f>
        <v>#VALUE!</v>
      </c>
      <c r="R16" s="209" t="e">
        <f aca="true">A16-1-TODAY()</f>
        <v>#VALUE!</v>
      </c>
      <c r="S16" s="210" t="e">
        <f aca="false">VLOOKUP($A16,Curve_Fetch,VLOOKUP(Control!$AJ$10,Control!$AI$11:$AM$22,5))</f>
        <v>#VALUE!</v>
      </c>
      <c r="T16" s="211" t="e">
        <f aca="false">EURO(N16,O16,P16,Q16,S16,R16,IF(Control!$C$38="Call",1,0),0)</f>
        <v>#NAME?</v>
      </c>
      <c r="U16" s="174" t="e">
        <f aca="false">T16*B16*E16</f>
        <v>#VALUE!</v>
      </c>
      <c r="V16" s="212"/>
      <c r="W16" s="213"/>
      <c r="X16" s="213"/>
      <c r="Y16" s="213"/>
      <c r="AA16" s="214"/>
      <c r="AB16" s="214"/>
      <c r="AC16" s="215"/>
      <c r="AD16" s="216"/>
      <c r="AE16" s="217"/>
      <c r="AF16" s="218"/>
      <c r="AG16" s="219"/>
      <c r="AH16" s="220"/>
      <c r="AI16" s="174"/>
      <c r="AJ16" s="171" t="e">
        <f aca="false">Y16-L16</f>
        <v>#VALUE!</v>
      </c>
      <c r="AL16" s="208" t="e">
        <f aca="false">VLOOKUP($C16,Curve_Fetch,2)+Cost_of_Funds</f>
        <v>#VALUE!</v>
      </c>
      <c r="AM16" s="221" t="e">
        <f aca="false">1/(1+AL16/2)^(2*(C16-Val_Date)/365.25)</f>
        <v>#VALUE!</v>
      </c>
      <c r="AO16" s="222" t="e">
        <f aca="false">$B16*$E16*$AM16</f>
        <v>#VALUE!</v>
      </c>
      <c r="AP16" s="222"/>
      <c r="AQ16" s="222" t="e">
        <f aca="false">H16*AO16</f>
        <v>#VALUE!</v>
      </c>
      <c r="AR16" s="222"/>
      <c r="AS16" s="174" t="e">
        <f aca="false">J16*$AO16</f>
        <v>#VALUE!</v>
      </c>
      <c r="AT16" s="174" t="e">
        <f aca="false">K16*$AO16</f>
        <v>#VALUE!</v>
      </c>
      <c r="AU16" s="174" t="e">
        <f aca="false">L16*$AO16</f>
        <v>#VALUE!</v>
      </c>
      <c r="AV16" s="174"/>
      <c r="AW16" s="174"/>
      <c r="AY16" s="220"/>
      <c r="AZ16" s="220"/>
      <c r="BA16" s="223"/>
      <c r="BC16" s="220"/>
      <c r="BE16" s="206"/>
    </row>
    <row r="17" customFormat="false" ht="12.75" hidden="false" customHeight="false" outlineLevel="0" collapsed="false">
      <c r="A17" s="167" t="e">
        <f aca="false">([1]!edate,A16,1)</f>
        <v>#VALUE!</v>
      </c>
      <c r="B17" s="201" t="e">
        <f aca="false">A18-A17</f>
        <v>#VALUE!</v>
      </c>
      <c r="C17" s="202" t="e">
        <f aca="false">IF(Control!$F$18="Physical",Model!A18+24,Model!A18)</f>
        <v>#VALUE!</v>
      </c>
      <c r="E17" s="203" t="e">
        <f aca="false">IF($A17&lt;End_Date,IF(Control!$C$20="Flat",Control!$C$21,VLOOKUP(Model!$A17,Euro!$B$29:$D$182,3)),0)</f>
        <v>#VALUE!</v>
      </c>
      <c r="F17" s="203" t="e">
        <f aca="false">E17*B17</f>
        <v>#VALUE!</v>
      </c>
      <c r="H17" s="204" t="e">
        <f aca="false">IF(Control!$C$27="Mid",VLOOKUP($A17,CurveFetch!$D$8:$F$367,3),VLOOKUP($A17,Euro!$B$29:$I$182,8))</f>
        <v>#VALUE!</v>
      </c>
      <c r="I17" s="204"/>
      <c r="J17" s="204" t="e">
        <f aca="false">IF($J$4="Mid",VLOOKUP($A17,Curve_Fetch,VLOOKUP(Control!$AJ$10,Control!$AI$11:$AK$22,3)),VLOOKUP($A17,Euro!$B$29:$M$182,12))</f>
        <v>#VALUE!</v>
      </c>
      <c r="K17" s="205" t="e">
        <f aca="false">IF(Control!$F$18="Physical",IF($K$4="Mid",VLOOKUP($A17,Curve_Fetch,VLOOKUP(Control!$AJ$10,Control!$AI$11:$AL$22,4)),VLOOKUP($A17,Euro!$B$29:$Q$182,16)),0)</f>
        <v>#VALUE!</v>
      </c>
      <c r="L17" s="204" t="e">
        <f aca="false">SUM(J17:K17)</f>
        <v>#VALUE!</v>
      </c>
      <c r="M17" s="204"/>
      <c r="N17" s="206" t="e">
        <f aca="false">L17+H17</f>
        <v>#VALUE!</v>
      </c>
      <c r="O17" s="206" t="e">
        <f aca="false">N17+Control!$C$39</f>
        <v>#VALUE!</v>
      </c>
      <c r="P17" s="207" t="e">
        <f aca="false">VLOOKUP($A17,CurveFetch!$D$8:$E$367,2)</f>
        <v>#VALUE!</v>
      </c>
      <c r="Q17" s="208" t="e">
        <f aca="false">P17</f>
        <v>#VALUE!</v>
      </c>
      <c r="R17" s="209" t="e">
        <f aca="true">A17-1-TODAY()</f>
        <v>#VALUE!</v>
      </c>
      <c r="S17" s="210" t="e">
        <f aca="false">VLOOKUP($A17,Curve_Fetch,VLOOKUP(Control!$AJ$10,Control!$AI$11:$AM$22,5))</f>
        <v>#VALUE!</v>
      </c>
      <c r="T17" s="211" t="e">
        <f aca="false">EURO(N17,O17,P17,Q17,S17,R17,IF(Control!$C$38="Call",1,0),0)</f>
        <v>#NAME?</v>
      </c>
      <c r="U17" s="174" t="e">
        <f aca="false">T17*B17*E17</f>
        <v>#VALUE!</v>
      </c>
      <c r="V17" s="212"/>
      <c r="W17" s="213"/>
      <c r="X17" s="213"/>
      <c r="Y17" s="213"/>
      <c r="AA17" s="214"/>
      <c r="AB17" s="214"/>
      <c r="AC17" s="215"/>
      <c r="AD17" s="216"/>
      <c r="AE17" s="217"/>
      <c r="AF17" s="218"/>
      <c r="AG17" s="219"/>
      <c r="AH17" s="220"/>
      <c r="AI17" s="174"/>
      <c r="AJ17" s="171" t="e">
        <f aca="false">Y17-L17</f>
        <v>#VALUE!</v>
      </c>
      <c r="AL17" s="208" t="e">
        <f aca="false">VLOOKUP($C17,Curve_Fetch,2)+Cost_of_Funds</f>
        <v>#VALUE!</v>
      </c>
      <c r="AM17" s="221" t="e">
        <f aca="false">1/(1+AL17/2)^(2*(C17-Val_Date)/365.25)</f>
        <v>#VALUE!</v>
      </c>
      <c r="AO17" s="222" t="e">
        <f aca="false">$B17*$E17*$AM17</f>
        <v>#VALUE!</v>
      </c>
      <c r="AP17" s="222"/>
      <c r="AQ17" s="222" t="e">
        <f aca="false">H17*AO17</f>
        <v>#VALUE!</v>
      </c>
      <c r="AR17" s="222"/>
      <c r="AS17" s="174" t="e">
        <f aca="false">J17*$AO17</f>
        <v>#VALUE!</v>
      </c>
      <c r="AT17" s="174" t="e">
        <f aca="false">K17*$AO17</f>
        <v>#VALUE!</v>
      </c>
      <c r="AU17" s="174" t="e">
        <f aca="false">L17*$AO17</f>
        <v>#VALUE!</v>
      </c>
      <c r="AV17" s="174"/>
      <c r="AW17" s="174"/>
      <c r="AY17" s="220"/>
      <c r="AZ17" s="220"/>
      <c r="BA17" s="223"/>
      <c r="BC17" s="220"/>
      <c r="BE17" s="206"/>
    </row>
    <row r="18" customFormat="false" ht="12.75" hidden="false" customHeight="false" outlineLevel="0" collapsed="false">
      <c r="A18" s="167" t="e">
        <f aca="false">([1]!edate,A17,1)</f>
        <v>#VALUE!</v>
      </c>
      <c r="B18" s="201" t="e">
        <f aca="false">A19-A18</f>
        <v>#VALUE!</v>
      </c>
      <c r="C18" s="202" t="e">
        <f aca="false">IF(Control!$F$18="Physical",Model!A19+24,Model!A19)</f>
        <v>#VALUE!</v>
      </c>
      <c r="E18" s="203" t="e">
        <f aca="false">IF($A18&lt;End_Date,IF(Control!$C$20="Flat",Control!$C$21,VLOOKUP(Model!$A18,Euro!$B$29:$D$182,3)),0)</f>
        <v>#VALUE!</v>
      </c>
      <c r="F18" s="203" t="e">
        <f aca="false">E18*B18</f>
        <v>#VALUE!</v>
      </c>
      <c r="H18" s="204" t="e">
        <f aca="false">IF(Control!$C$27="Mid",VLOOKUP($A18,CurveFetch!$D$8:$F$367,3),VLOOKUP($A18,Euro!$B$29:$I$182,8))</f>
        <v>#VALUE!</v>
      </c>
      <c r="I18" s="204"/>
      <c r="J18" s="204" t="e">
        <f aca="false">IF($J$4="Mid",VLOOKUP($A18,Curve_Fetch,VLOOKUP(Control!$AJ$10,Control!$AI$11:$AK$22,3)),VLOOKUP($A18,Euro!$B$29:$M$182,12))</f>
        <v>#VALUE!</v>
      </c>
      <c r="K18" s="205" t="e">
        <f aca="false">IF(Control!$F$18="Physical",IF($K$4="Mid",VLOOKUP($A18,Curve_Fetch,VLOOKUP(Control!$AJ$10,Control!$AI$11:$AL$22,4)),VLOOKUP($A18,Euro!$B$29:$Q$182,16)),0)</f>
        <v>#VALUE!</v>
      </c>
      <c r="L18" s="204" t="e">
        <f aca="false">SUM(J18:K18)</f>
        <v>#VALUE!</v>
      </c>
      <c r="M18" s="204"/>
      <c r="N18" s="206" t="e">
        <f aca="false">L18+H18</f>
        <v>#VALUE!</v>
      </c>
      <c r="O18" s="206" t="e">
        <f aca="false">N18+Control!$C$39</f>
        <v>#VALUE!</v>
      </c>
      <c r="P18" s="207" t="e">
        <f aca="false">VLOOKUP($A18,CurveFetch!$D$8:$E$367,2)</f>
        <v>#VALUE!</v>
      </c>
      <c r="Q18" s="208" t="e">
        <f aca="false">P18</f>
        <v>#VALUE!</v>
      </c>
      <c r="R18" s="209" t="e">
        <f aca="true">A18-1-TODAY()</f>
        <v>#VALUE!</v>
      </c>
      <c r="S18" s="210" t="e">
        <f aca="false">VLOOKUP($A18,Curve_Fetch,VLOOKUP(Control!$AJ$10,Control!$AI$11:$AM$22,5))</f>
        <v>#VALUE!</v>
      </c>
      <c r="T18" s="211" t="e">
        <f aca="false">EURO(N18,O18,P18,Q18,S18,R18,IF(Control!$C$38="Call",1,0),0)</f>
        <v>#NAME?</v>
      </c>
      <c r="U18" s="174" t="e">
        <f aca="false">T18*B18*E18</f>
        <v>#VALUE!</v>
      </c>
      <c r="V18" s="212"/>
      <c r="W18" s="213"/>
      <c r="X18" s="213"/>
      <c r="Y18" s="213"/>
      <c r="AA18" s="214"/>
      <c r="AB18" s="214"/>
      <c r="AC18" s="215"/>
      <c r="AD18" s="216"/>
      <c r="AE18" s="217"/>
      <c r="AF18" s="218"/>
      <c r="AG18" s="219"/>
      <c r="AH18" s="220"/>
      <c r="AI18" s="174"/>
      <c r="AJ18" s="171" t="e">
        <f aca="false">Y18-L18</f>
        <v>#VALUE!</v>
      </c>
      <c r="AL18" s="208" t="e">
        <f aca="false">VLOOKUP($C18,Curve_Fetch,2)+Cost_of_Funds</f>
        <v>#VALUE!</v>
      </c>
      <c r="AM18" s="221" t="e">
        <f aca="false">1/(1+AL18/2)^(2*(C18-Val_Date)/365.25)</f>
        <v>#VALUE!</v>
      </c>
      <c r="AO18" s="222" t="e">
        <f aca="false">$B18*$E18*$AM18</f>
        <v>#VALUE!</v>
      </c>
      <c r="AP18" s="222"/>
      <c r="AQ18" s="222" t="e">
        <f aca="false">H18*AO18</f>
        <v>#VALUE!</v>
      </c>
      <c r="AR18" s="222"/>
      <c r="AS18" s="174" t="e">
        <f aca="false">J18*$AO18</f>
        <v>#VALUE!</v>
      </c>
      <c r="AT18" s="174" t="e">
        <f aca="false">K18*$AO18</f>
        <v>#VALUE!</v>
      </c>
      <c r="AU18" s="174" t="e">
        <f aca="false">L18*$AO18</f>
        <v>#VALUE!</v>
      </c>
      <c r="AV18" s="174"/>
      <c r="AW18" s="174"/>
      <c r="AY18" s="220"/>
      <c r="AZ18" s="220"/>
      <c r="BA18" s="223"/>
      <c r="BC18" s="220"/>
      <c r="BE18" s="206"/>
    </row>
    <row r="19" customFormat="false" ht="12.75" hidden="false" customHeight="false" outlineLevel="0" collapsed="false">
      <c r="A19" s="167" t="e">
        <f aca="false">([1]!edate,A18,1)</f>
        <v>#VALUE!</v>
      </c>
      <c r="B19" s="201" t="e">
        <f aca="false">A20-A19</f>
        <v>#VALUE!</v>
      </c>
      <c r="C19" s="202" t="e">
        <f aca="false">IF(Control!$F$18="Physical",Model!A20+24,Model!A20)</f>
        <v>#VALUE!</v>
      </c>
      <c r="E19" s="203" t="e">
        <f aca="false">IF($A19&lt;End_Date,IF(Control!$C$20="Flat",Control!$C$21,VLOOKUP(Model!$A19,Euro!$B$29:$D$182,3)),0)</f>
        <v>#VALUE!</v>
      </c>
      <c r="F19" s="203" t="e">
        <f aca="false">E19*B19</f>
        <v>#VALUE!</v>
      </c>
      <c r="H19" s="204" t="e">
        <f aca="false">IF(Control!$C$27="Mid",VLOOKUP($A19,CurveFetch!$D$8:$F$367,3),VLOOKUP($A19,Euro!$B$29:$I$182,8))</f>
        <v>#VALUE!</v>
      </c>
      <c r="I19" s="204"/>
      <c r="J19" s="204" t="e">
        <f aca="false">IF($J$4="Mid",VLOOKUP($A19,Curve_Fetch,VLOOKUP(Control!$AJ$10,Control!$AI$11:$AK$22,3)),VLOOKUP($A19,Euro!$B$29:$M$182,12))</f>
        <v>#VALUE!</v>
      </c>
      <c r="K19" s="205" t="e">
        <f aca="false">IF(Control!$F$18="Physical",IF($K$4="Mid",VLOOKUP($A19,Curve_Fetch,VLOOKUP(Control!$AJ$10,Control!$AI$11:$AL$22,4)),VLOOKUP($A19,Euro!$B$29:$Q$182,16)),0)</f>
        <v>#VALUE!</v>
      </c>
      <c r="L19" s="204" t="e">
        <f aca="false">SUM(J19:K19)</f>
        <v>#VALUE!</v>
      </c>
      <c r="M19" s="204"/>
      <c r="N19" s="206" t="e">
        <f aca="false">L19+H19</f>
        <v>#VALUE!</v>
      </c>
      <c r="O19" s="206" t="e">
        <f aca="false">N19+Control!$C$39</f>
        <v>#VALUE!</v>
      </c>
      <c r="P19" s="207" t="e">
        <f aca="false">VLOOKUP($A19,CurveFetch!$D$8:$E$367,2)</f>
        <v>#VALUE!</v>
      </c>
      <c r="Q19" s="208" t="e">
        <f aca="false">P19</f>
        <v>#VALUE!</v>
      </c>
      <c r="R19" s="209" t="e">
        <f aca="true">A19-1-TODAY()</f>
        <v>#VALUE!</v>
      </c>
      <c r="S19" s="210" t="e">
        <f aca="false">VLOOKUP($A19,Curve_Fetch,VLOOKUP(Control!$AJ$10,Control!$AI$11:$AM$22,5))</f>
        <v>#VALUE!</v>
      </c>
      <c r="T19" s="211" t="e">
        <f aca="false">EURO(N19,O19,P19,Q19,S19,R19,IF(Control!$C$38="Call",1,0),0)</f>
        <v>#NAME?</v>
      </c>
      <c r="U19" s="174" t="e">
        <f aca="false">T19*B19*E19</f>
        <v>#VALUE!</v>
      </c>
      <c r="V19" s="212"/>
      <c r="W19" s="213"/>
      <c r="X19" s="213"/>
      <c r="Y19" s="213"/>
      <c r="AA19" s="214"/>
      <c r="AB19" s="214"/>
      <c r="AC19" s="215"/>
      <c r="AD19" s="216"/>
      <c r="AE19" s="217"/>
      <c r="AF19" s="218"/>
      <c r="AG19" s="219"/>
      <c r="AH19" s="220"/>
      <c r="AI19" s="174"/>
      <c r="AJ19" s="171" t="e">
        <f aca="false">Y19-L19</f>
        <v>#VALUE!</v>
      </c>
      <c r="AL19" s="208" t="e">
        <f aca="false">VLOOKUP($C19,Curve_Fetch,2)+Cost_of_Funds</f>
        <v>#VALUE!</v>
      </c>
      <c r="AM19" s="210" t="e">
        <f aca="false">1/(1+AL19/2)^(2*(C19-Val_Date)/365.25)</f>
        <v>#VALUE!</v>
      </c>
      <c r="AO19" s="222" t="e">
        <f aca="false">$B19*$E19*$AM19</f>
        <v>#VALUE!</v>
      </c>
      <c r="AP19" s="222"/>
      <c r="AQ19" s="222" t="e">
        <f aca="false">H19*AO19</f>
        <v>#VALUE!</v>
      </c>
      <c r="AR19" s="222"/>
      <c r="AS19" s="174" t="e">
        <f aca="false">J19*$AO19</f>
        <v>#VALUE!</v>
      </c>
      <c r="AT19" s="174" t="e">
        <f aca="false">K19*$AO19</f>
        <v>#VALUE!</v>
      </c>
      <c r="AU19" s="174" t="e">
        <f aca="false">L19*$AO19</f>
        <v>#VALUE!</v>
      </c>
      <c r="AV19" s="174"/>
      <c r="AW19" s="174"/>
      <c r="AY19" s="220"/>
      <c r="AZ19" s="220"/>
      <c r="BA19" s="223"/>
      <c r="BC19" s="220"/>
      <c r="BE19" s="206"/>
    </row>
    <row r="20" customFormat="false" ht="12.75" hidden="false" customHeight="false" outlineLevel="0" collapsed="false">
      <c r="A20" s="167" t="e">
        <f aca="false">([1]!edate,A19,1)</f>
        <v>#VALUE!</v>
      </c>
      <c r="B20" s="201" t="e">
        <f aca="false">A21-A20</f>
        <v>#VALUE!</v>
      </c>
      <c r="C20" s="202" t="e">
        <f aca="false">IF(Control!$F$18="Physical",Model!A21+24,Model!A21)</f>
        <v>#VALUE!</v>
      </c>
      <c r="E20" s="203" t="e">
        <f aca="false">IF($A20&lt;End_Date,IF(Control!$C$20="Flat",Control!$C$21,VLOOKUP(Model!$A20,Euro!$B$29:$D$182,3)),0)</f>
        <v>#VALUE!</v>
      </c>
      <c r="F20" s="203" t="e">
        <f aca="false">E20*B20</f>
        <v>#VALUE!</v>
      </c>
      <c r="H20" s="204" t="e">
        <f aca="false">IF(Control!$C$27="Mid",VLOOKUP($A20,CurveFetch!$D$8:$F$367,3),VLOOKUP($A20,Euro!$B$29:$I$182,8))</f>
        <v>#VALUE!</v>
      </c>
      <c r="I20" s="204"/>
      <c r="J20" s="204" t="e">
        <f aca="false">IF($J$4="Mid",VLOOKUP($A20,Curve_Fetch,VLOOKUP(Control!$AJ$10,Control!$AI$11:$AK$22,3)),VLOOKUP($A20,Euro!$B$29:$M$182,12))</f>
        <v>#VALUE!</v>
      </c>
      <c r="K20" s="205" t="e">
        <f aca="false">IF(Control!$F$18="Physical",IF($K$4="Mid",VLOOKUP($A20,Curve_Fetch,VLOOKUP(Control!$AJ$10,Control!$AI$11:$AL$22,4)),VLOOKUP($A20,Euro!$B$29:$Q$182,16)),0)</f>
        <v>#VALUE!</v>
      </c>
      <c r="L20" s="204" t="e">
        <f aca="false">SUM(J20:K20)</f>
        <v>#VALUE!</v>
      </c>
      <c r="M20" s="204"/>
      <c r="N20" s="206" t="e">
        <f aca="false">L20+H20</f>
        <v>#VALUE!</v>
      </c>
      <c r="O20" s="206" t="e">
        <f aca="false">N20+Control!$C$39</f>
        <v>#VALUE!</v>
      </c>
      <c r="P20" s="207" t="e">
        <f aca="false">VLOOKUP($A20,CurveFetch!$D$8:$E$367,2)</f>
        <v>#VALUE!</v>
      </c>
      <c r="Q20" s="208" t="e">
        <f aca="false">P20</f>
        <v>#VALUE!</v>
      </c>
      <c r="R20" s="209" t="e">
        <f aca="true">A20-1-TODAY()</f>
        <v>#VALUE!</v>
      </c>
      <c r="S20" s="210" t="e">
        <f aca="false">VLOOKUP($A20,Curve_Fetch,VLOOKUP(Control!$AJ$10,Control!$AI$11:$AM$22,5))</f>
        <v>#VALUE!</v>
      </c>
      <c r="T20" s="211" t="e">
        <f aca="false">EURO(N20,O20,P20,Q20,S20,R20,IF(Control!$C$38="Call",1,0),0)</f>
        <v>#NAME?</v>
      </c>
      <c r="U20" s="174" t="e">
        <f aca="false">T20*B20*E20</f>
        <v>#VALUE!</v>
      </c>
      <c r="V20" s="212"/>
      <c r="W20" s="213"/>
      <c r="X20" s="213"/>
      <c r="Y20" s="213"/>
      <c r="AA20" s="214"/>
      <c r="AB20" s="214"/>
      <c r="AC20" s="215"/>
      <c r="AD20" s="216"/>
      <c r="AE20" s="217"/>
      <c r="AF20" s="218"/>
      <c r="AG20" s="219"/>
      <c r="AH20" s="220"/>
      <c r="AI20" s="174"/>
      <c r="AJ20" s="171" t="e">
        <f aca="false">Y20-L20</f>
        <v>#VALUE!</v>
      </c>
      <c r="AL20" s="208" t="e">
        <f aca="false">VLOOKUP($C20,Curve_Fetch,2)+Cost_of_Funds</f>
        <v>#VALUE!</v>
      </c>
      <c r="AM20" s="210" t="e">
        <f aca="false">1/(1+AL20/2)^(2*(C20-Val_Date)/365.25)</f>
        <v>#VALUE!</v>
      </c>
      <c r="AO20" s="222" t="e">
        <f aca="false">$B20*$E20*$AM20</f>
        <v>#VALUE!</v>
      </c>
      <c r="AP20" s="222"/>
      <c r="AQ20" s="222" t="e">
        <f aca="false">H20*AO20</f>
        <v>#VALUE!</v>
      </c>
      <c r="AR20" s="222"/>
      <c r="AS20" s="174" t="e">
        <f aca="false">J20*$AO20</f>
        <v>#VALUE!</v>
      </c>
      <c r="AT20" s="174" t="e">
        <f aca="false">K20*$AO20</f>
        <v>#VALUE!</v>
      </c>
      <c r="AU20" s="174" t="e">
        <f aca="false">L20*$AO20</f>
        <v>#VALUE!</v>
      </c>
      <c r="AV20" s="174"/>
      <c r="AW20" s="174"/>
      <c r="AY20" s="220"/>
      <c r="AZ20" s="220"/>
      <c r="BA20" s="223"/>
      <c r="BC20" s="220"/>
      <c r="BE20" s="206"/>
    </row>
    <row r="21" customFormat="false" ht="12.75" hidden="false" customHeight="false" outlineLevel="0" collapsed="false">
      <c r="A21" s="167" t="e">
        <f aca="false">([1]!edate,A20,1)</f>
        <v>#VALUE!</v>
      </c>
      <c r="B21" s="201" t="e">
        <f aca="false">A22-A21</f>
        <v>#VALUE!</v>
      </c>
      <c r="C21" s="202" t="e">
        <f aca="false">IF(Control!$F$18="Physical",Model!A22+24,Model!A22)</f>
        <v>#VALUE!</v>
      </c>
      <c r="E21" s="203" t="e">
        <f aca="false">IF($A21&lt;End_Date,IF(Control!$C$20="Flat",Control!$C$21,VLOOKUP(Model!$A21,Euro!$B$29:$D$182,3)),0)</f>
        <v>#VALUE!</v>
      </c>
      <c r="F21" s="203" t="e">
        <f aca="false">E21*B21</f>
        <v>#VALUE!</v>
      </c>
      <c r="H21" s="204" t="e">
        <f aca="false">IF(Control!$C$27="Mid",VLOOKUP($A21,CurveFetch!$D$8:$F$367,3),VLOOKUP($A21,Euro!$B$29:$I$182,8))</f>
        <v>#VALUE!</v>
      </c>
      <c r="I21" s="204"/>
      <c r="J21" s="204" t="e">
        <f aca="false">IF($J$4="Mid",VLOOKUP($A21,Curve_Fetch,VLOOKUP(Control!$AJ$10,Control!$AI$11:$AK$22,3)),VLOOKUP($A21,Euro!$B$29:$M$182,12))</f>
        <v>#VALUE!</v>
      </c>
      <c r="K21" s="205" t="e">
        <f aca="false">IF(Control!$F$18="Physical",IF($K$4="Mid",VLOOKUP($A21,Curve_Fetch,VLOOKUP(Control!$AJ$10,Control!$AI$11:$AL$22,4)),VLOOKUP($A21,Euro!$B$29:$Q$182,16)),0)</f>
        <v>#VALUE!</v>
      </c>
      <c r="L21" s="204" t="e">
        <f aca="false">SUM(J21:K21)</f>
        <v>#VALUE!</v>
      </c>
      <c r="M21" s="204"/>
      <c r="N21" s="206" t="e">
        <f aca="false">L21+H21</f>
        <v>#VALUE!</v>
      </c>
      <c r="O21" s="206" t="e">
        <f aca="false">N21+Control!$C$39</f>
        <v>#VALUE!</v>
      </c>
      <c r="P21" s="207" t="e">
        <f aca="false">VLOOKUP($A21,CurveFetch!$D$8:$E$367,2)</f>
        <v>#VALUE!</v>
      </c>
      <c r="Q21" s="208" t="e">
        <f aca="false">P21</f>
        <v>#VALUE!</v>
      </c>
      <c r="R21" s="209" t="e">
        <f aca="true">A21-1-TODAY()</f>
        <v>#VALUE!</v>
      </c>
      <c r="S21" s="210" t="e">
        <f aca="false">VLOOKUP($A21,Curve_Fetch,VLOOKUP(Control!$AJ$10,Control!$AI$11:$AM$22,5))</f>
        <v>#VALUE!</v>
      </c>
      <c r="T21" s="211" t="e">
        <f aca="false">EURO(N21,O21,P21,Q21,S21,R21,IF(Control!$C$38="Call",1,0),0)</f>
        <v>#NAME?</v>
      </c>
      <c r="U21" s="174" t="e">
        <f aca="false">T21*B21*E21</f>
        <v>#VALUE!</v>
      </c>
      <c r="V21" s="212"/>
      <c r="W21" s="213"/>
      <c r="X21" s="213"/>
      <c r="Y21" s="213"/>
      <c r="AA21" s="214"/>
      <c r="AB21" s="214"/>
      <c r="AC21" s="215"/>
      <c r="AD21" s="216"/>
      <c r="AE21" s="217"/>
      <c r="AF21" s="218"/>
      <c r="AG21" s="219"/>
      <c r="AH21" s="220"/>
      <c r="AI21" s="174"/>
      <c r="AJ21" s="171" t="e">
        <f aca="false">Y21-L21</f>
        <v>#VALUE!</v>
      </c>
      <c r="AL21" s="208" t="e">
        <f aca="false">VLOOKUP($C21,Curve_Fetch,2)+Cost_of_Funds</f>
        <v>#VALUE!</v>
      </c>
      <c r="AM21" s="210" t="e">
        <f aca="false">1/(1+AL21/2)^(2*(C21-Val_Date)/365.25)</f>
        <v>#VALUE!</v>
      </c>
      <c r="AO21" s="222" t="e">
        <f aca="false">$B21*$E21*$AM21</f>
        <v>#VALUE!</v>
      </c>
      <c r="AP21" s="222"/>
      <c r="AQ21" s="222" t="e">
        <f aca="false">H21*AO21</f>
        <v>#VALUE!</v>
      </c>
      <c r="AR21" s="222"/>
      <c r="AS21" s="174" t="e">
        <f aca="false">J21*$AO21</f>
        <v>#VALUE!</v>
      </c>
      <c r="AT21" s="174" t="e">
        <f aca="false">K21*$AO21</f>
        <v>#VALUE!</v>
      </c>
      <c r="AU21" s="174" t="e">
        <f aca="false">L21*$AO21</f>
        <v>#VALUE!</v>
      </c>
      <c r="AV21" s="174"/>
      <c r="AW21" s="174"/>
      <c r="AY21" s="220"/>
      <c r="AZ21" s="220"/>
      <c r="BA21" s="223"/>
      <c r="BC21" s="220"/>
      <c r="BE21" s="206"/>
    </row>
    <row r="22" customFormat="false" ht="12.75" hidden="false" customHeight="false" outlineLevel="0" collapsed="false">
      <c r="A22" s="167" t="e">
        <f aca="false">([1]!edate,A21,1)</f>
        <v>#VALUE!</v>
      </c>
      <c r="B22" s="201" t="e">
        <f aca="false">A23-A22</f>
        <v>#VALUE!</v>
      </c>
      <c r="C22" s="202" t="e">
        <f aca="false">IF(Control!$F$18="Physical",Model!A23+24,Model!A23)</f>
        <v>#VALUE!</v>
      </c>
      <c r="E22" s="203" t="e">
        <f aca="false">IF($A22&lt;End_Date,IF(Control!$C$20="Flat",Control!$C$21,VLOOKUP(Model!$A22,Euro!$B$29:$D$182,3)),0)</f>
        <v>#VALUE!</v>
      </c>
      <c r="F22" s="203" t="e">
        <f aca="false">E22*B22</f>
        <v>#VALUE!</v>
      </c>
      <c r="H22" s="204" t="e">
        <f aca="false">IF(Control!$C$27="Mid",VLOOKUP($A22,CurveFetch!$D$8:$F$367,3),VLOOKUP($A22,Euro!$B$29:$I$182,8))</f>
        <v>#VALUE!</v>
      </c>
      <c r="I22" s="204"/>
      <c r="J22" s="204" t="e">
        <f aca="false">IF($J$4="Mid",VLOOKUP($A22,Curve_Fetch,VLOOKUP(Control!$AJ$10,Control!$AI$11:$AK$22,3)),VLOOKUP($A22,Euro!$B$29:$M$182,12))</f>
        <v>#VALUE!</v>
      </c>
      <c r="K22" s="205" t="e">
        <f aca="false">IF(Control!$F$18="Physical",IF($K$4="Mid",VLOOKUP($A22,Curve_Fetch,VLOOKUP(Control!$AJ$10,Control!$AI$11:$AL$22,4)),VLOOKUP($A22,Euro!$B$29:$Q$182,16)),0)</f>
        <v>#VALUE!</v>
      </c>
      <c r="L22" s="204" t="e">
        <f aca="false">SUM(J22:K22)</f>
        <v>#VALUE!</v>
      </c>
      <c r="M22" s="204"/>
      <c r="N22" s="206" t="e">
        <f aca="false">L22+H22</f>
        <v>#VALUE!</v>
      </c>
      <c r="O22" s="206" t="e">
        <f aca="false">N22+Control!$C$39</f>
        <v>#VALUE!</v>
      </c>
      <c r="P22" s="207" t="e">
        <f aca="false">VLOOKUP($A22,CurveFetch!$D$8:$E$367,2)</f>
        <v>#VALUE!</v>
      </c>
      <c r="Q22" s="208" t="e">
        <f aca="false">P22</f>
        <v>#VALUE!</v>
      </c>
      <c r="R22" s="209" t="e">
        <f aca="true">A22-1-TODAY()</f>
        <v>#VALUE!</v>
      </c>
      <c r="S22" s="210" t="e">
        <f aca="false">VLOOKUP($A22,Curve_Fetch,VLOOKUP(Control!$AJ$10,Control!$AI$11:$AM$22,5))</f>
        <v>#VALUE!</v>
      </c>
      <c r="T22" s="211" t="e">
        <f aca="false">EURO(N22,O22,P22,Q22,S22,R22,IF(Control!$C$38="Call",1,0),0)</f>
        <v>#NAME?</v>
      </c>
      <c r="U22" s="174" t="e">
        <f aca="false">T22*B22*E22</f>
        <v>#VALUE!</v>
      </c>
      <c r="V22" s="212"/>
      <c r="W22" s="213"/>
      <c r="X22" s="213"/>
      <c r="Y22" s="213"/>
      <c r="AA22" s="214"/>
      <c r="AB22" s="214"/>
      <c r="AC22" s="215"/>
      <c r="AD22" s="216"/>
      <c r="AE22" s="217"/>
      <c r="AF22" s="218"/>
      <c r="AG22" s="219"/>
      <c r="AH22" s="220"/>
      <c r="AI22" s="174"/>
      <c r="AJ22" s="171" t="e">
        <f aca="false">Y22-L22</f>
        <v>#VALUE!</v>
      </c>
      <c r="AL22" s="208" t="e">
        <f aca="false">VLOOKUP($C22,Curve_Fetch,2)+Cost_of_Funds</f>
        <v>#VALUE!</v>
      </c>
      <c r="AM22" s="210" t="e">
        <f aca="false">1/(1+AL22/2)^(2*(C22-Val_Date)/365.25)</f>
        <v>#VALUE!</v>
      </c>
      <c r="AO22" s="222" t="e">
        <f aca="false">$B22*$E22*$AM22</f>
        <v>#VALUE!</v>
      </c>
      <c r="AP22" s="222"/>
      <c r="AQ22" s="222" t="e">
        <f aca="false">H22*AO22</f>
        <v>#VALUE!</v>
      </c>
      <c r="AR22" s="222"/>
      <c r="AS22" s="174" t="e">
        <f aca="false">J22*$AO22</f>
        <v>#VALUE!</v>
      </c>
      <c r="AT22" s="174" t="e">
        <f aca="false">K22*$AO22</f>
        <v>#VALUE!</v>
      </c>
      <c r="AU22" s="174" t="e">
        <f aca="false">L22*$AO22</f>
        <v>#VALUE!</v>
      </c>
      <c r="AV22" s="174"/>
      <c r="AW22" s="174"/>
      <c r="AY22" s="220"/>
      <c r="AZ22" s="220"/>
      <c r="BA22" s="223"/>
      <c r="BC22" s="220"/>
      <c r="BE22" s="206"/>
    </row>
    <row r="23" customFormat="false" ht="12.75" hidden="false" customHeight="false" outlineLevel="0" collapsed="false">
      <c r="A23" s="167" t="e">
        <f aca="false">([1]!edate,A22,1)</f>
        <v>#VALUE!</v>
      </c>
      <c r="B23" s="201" t="e">
        <f aca="false">A24-A23</f>
        <v>#VALUE!</v>
      </c>
      <c r="C23" s="202" t="e">
        <f aca="false">IF(Control!$F$18="Physical",Model!A24+24,Model!A24)</f>
        <v>#VALUE!</v>
      </c>
      <c r="E23" s="203" t="e">
        <f aca="false">IF($A23&lt;End_Date,IF(Control!$C$20="Flat",Control!$C$21,VLOOKUP(Model!$A23,Euro!$B$29:$D$182,3)),0)</f>
        <v>#VALUE!</v>
      </c>
      <c r="F23" s="203" t="e">
        <f aca="false">E23*B23</f>
        <v>#VALUE!</v>
      </c>
      <c r="H23" s="204" t="e">
        <f aca="false">IF(Control!$C$27="Mid",VLOOKUP($A23,CurveFetch!$D$8:$F$367,3),VLOOKUP($A23,Euro!$B$29:$I$182,8))</f>
        <v>#VALUE!</v>
      </c>
      <c r="I23" s="204"/>
      <c r="J23" s="204" t="e">
        <f aca="false">IF($J$4="Mid",VLOOKUP($A23,Curve_Fetch,VLOOKUP(Control!$AJ$10,Control!$AI$11:$AK$22,3)),VLOOKUP($A23,Euro!$B$29:$M$182,12))</f>
        <v>#VALUE!</v>
      </c>
      <c r="K23" s="205" t="e">
        <f aca="false">IF(Control!$F$18="Physical",IF($K$4="Mid",VLOOKUP($A23,Curve_Fetch,VLOOKUP(Control!$AJ$10,Control!$AI$11:$AL$22,4)),VLOOKUP($A23,Euro!$B$29:$Q$182,16)),0)</f>
        <v>#VALUE!</v>
      </c>
      <c r="L23" s="204" t="e">
        <f aca="false">SUM(J23:K23)</f>
        <v>#VALUE!</v>
      </c>
      <c r="M23" s="204"/>
      <c r="N23" s="206" t="e">
        <f aca="false">L23+H23</f>
        <v>#VALUE!</v>
      </c>
      <c r="O23" s="206" t="e">
        <f aca="false">N23+Control!$C$39</f>
        <v>#VALUE!</v>
      </c>
      <c r="P23" s="207" t="e">
        <f aca="false">VLOOKUP($A23,CurveFetch!$D$8:$E$367,2)</f>
        <v>#VALUE!</v>
      </c>
      <c r="Q23" s="208" t="e">
        <f aca="false">P23</f>
        <v>#VALUE!</v>
      </c>
      <c r="R23" s="209" t="e">
        <f aca="true">A23-1-TODAY()</f>
        <v>#VALUE!</v>
      </c>
      <c r="S23" s="210" t="e">
        <f aca="false">VLOOKUP($A23,Curve_Fetch,VLOOKUP(Control!$AJ$10,Control!$AI$11:$AM$22,5))</f>
        <v>#VALUE!</v>
      </c>
      <c r="T23" s="211" t="e">
        <f aca="false">EURO(N23,O23,P23,Q23,S23,R23,IF(Control!$C$38="Call",1,0),0)</f>
        <v>#NAME?</v>
      </c>
      <c r="U23" s="174" t="e">
        <f aca="false">T23*B23*E23</f>
        <v>#VALUE!</v>
      </c>
      <c r="V23" s="212"/>
      <c r="W23" s="213"/>
      <c r="X23" s="213"/>
      <c r="Y23" s="213"/>
      <c r="AA23" s="214"/>
      <c r="AB23" s="214"/>
      <c r="AC23" s="215"/>
      <c r="AD23" s="216"/>
      <c r="AE23" s="217"/>
      <c r="AF23" s="218"/>
      <c r="AG23" s="219"/>
      <c r="AH23" s="220"/>
      <c r="AI23" s="174"/>
      <c r="AJ23" s="171" t="e">
        <f aca="false">Y23-L23</f>
        <v>#VALUE!</v>
      </c>
      <c r="AL23" s="208" t="e">
        <f aca="false">VLOOKUP($C23,Curve_Fetch,2)+Cost_of_Funds</f>
        <v>#VALUE!</v>
      </c>
      <c r="AM23" s="210" t="e">
        <f aca="false">1/(1+AL23/2)^(2*(C23-Val_Date)/365.25)</f>
        <v>#VALUE!</v>
      </c>
      <c r="AO23" s="222" t="e">
        <f aca="false">$B23*$E23*$AM23</f>
        <v>#VALUE!</v>
      </c>
      <c r="AP23" s="222"/>
      <c r="AQ23" s="222" t="e">
        <f aca="false">H23*AO23</f>
        <v>#VALUE!</v>
      </c>
      <c r="AR23" s="222"/>
      <c r="AS23" s="174" t="e">
        <f aca="false">J23*$AO23</f>
        <v>#VALUE!</v>
      </c>
      <c r="AT23" s="174" t="e">
        <f aca="false">K23*$AO23</f>
        <v>#VALUE!</v>
      </c>
      <c r="AU23" s="174" t="e">
        <f aca="false">L23*$AO23</f>
        <v>#VALUE!</v>
      </c>
      <c r="AV23" s="174"/>
      <c r="AW23" s="174"/>
      <c r="AY23" s="220"/>
      <c r="AZ23" s="220"/>
      <c r="BA23" s="223"/>
      <c r="BC23" s="220"/>
      <c r="BE23" s="206"/>
    </row>
    <row r="24" customFormat="false" ht="12.75" hidden="false" customHeight="false" outlineLevel="0" collapsed="false">
      <c r="A24" s="167" t="e">
        <f aca="false">([1]!edate,A23,1)</f>
        <v>#VALUE!</v>
      </c>
      <c r="B24" s="201" t="e">
        <f aca="false">A25-A24</f>
        <v>#VALUE!</v>
      </c>
      <c r="C24" s="202" t="e">
        <f aca="false">IF(Control!$F$18="Physical",Model!A25+24,Model!A25)</f>
        <v>#VALUE!</v>
      </c>
      <c r="E24" s="203" t="e">
        <f aca="false">IF($A24&lt;End_Date,IF(Control!$C$20="Flat",Control!$C$21,VLOOKUP(Model!$A24,Euro!$B$29:$D$182,3)),0)</f>
        <v>#VALUE!</v>
      </c>
      <c r="F24" s="203" t="e">
        <f aca="false">E24*B24</f>
        <v>#VALUE!</v>
      </c>
      <c r="H24" s="204" t="e">
        <f aca="false">IF(Control!$C$27="Mid",VLOOKUP($A24,CurveFetch!$D$8:$F$367,3),VLOOKUP($A24,Euro!$B$29:$I$182,8))</f>
        <v>#VALUE!</v>
      </c>
      <c r="I24" s="204"/>
      <c r="J24" s="204" t="e">
        <f aca="false">IF($J$4="Mid",VLOOKUP($A24,Curve_Fetch,VLOOKUP(Control!$AJ$10,Control!$AI$11:$AK$22,3)),VLOOKUP($A24,Euro!$B$29:$M$182,12))</f>
        <v>#VALUE!</v>
      </c>
      <c r="K24" s="205" t="e">
        <f aca="false">IF(Control!$F$18="Physical",IF($K$4="Mid",VLOOKUP($A24,Curve_Fetch,VLOOKUP(Control!$AJ$10,Control!$AI$11:$AL$22,4)),VLOOKUP($A24,Euro!$B$29:$Q$182,16)),0)</f>
        <v>#VALUE!</v>
      </c>
      <c r="L24" s="204" t="e">
        <f aca="false">SUM(J24:K24)</f>
        <v>#VALUE!</v>
      </c>
      <c r="M24" s="204"/>
      <c r="N24" s="206" t="e">
        <f aca="false">L24+H24</f>
        <v>#VALUE!</v>
      </c>
      <c r="O24" s="206" t="e">
        <f aca="false">N24+Control!$C$39</f>
        <v>#VALUE!</v>
      </c>
      <c r="P24" s="207" t="e">
        <f aca="false">VLOOKUP($A24,CurveFetch!$D$8:$E$367,2)</f>
        <v>#VALUE!</v>
      </c>
      <c r="Q24" s="208" t="e">
        <f aca="false">P24</f>
        <v>#VALUE!</v>
      </c>
      <c r="R24" s="209" t="e">
        <f aca="true">A24-1-TODAY()</f>
        <v>#VALUE!</v>
      </c>
      <c r="S24" s="210" t="e">
        <f aca="false">VLOOKUP($A24,Curve_Fetch,VLOOKUP(Control!$AJ$10,Control!$AI$11:$AM$22,5))</f>
        <v>#VALUE!</v>
      </c>
      <c r="T24" s="211" t="e">
        <f aca="false">EURO(N24,O24,P24,Q24,S24,R24,IF(Control!$C$38="Call",1,0),0)</f>
        <v>#NAME?</v>
      </c>
      <c r="U24" s="174" t="e">
        <f aca="false">T24*B24*E24</f>
        <v>#VALUE!</v>
      </c>
      <c r="V24" s="212"/>
      <c r="W24" s="213"/>
      <c r="X24" s="213"/>
      <c r="Y24" s="213"/>
      <c r="AA24" s="214"/>
      <c r="AB24" s="214"/>
      <c r="AC24" s="215"/>
      <c r="AD24" s="216"/>
      <c r="AE24" s="217"/>
      <c r="AF24" s="218"/>
      <c r="AG24" s="219"/>
      <c r="AH24" s="220"/>
      <c r="AI24" s="174"/>
      <c r="AJ24" s="171" t="e">
        <f aca="false">Y24-L24</f>
        <v>#VALUE!</v>
      </c>
      <c r="AL24" s="208" t="e">
        <f aca="false">VLOOKUP($C24,Curve_Fetch,2)+Cost_of_Funds</f>
        <v>#VALUE!</v>
      </c>
      <c r="AM24" s="210" t="e">
        <f aca="false">1/(1+AL24/2)^(2*(C24-Val_Date)/365.25)</f>
        <v>#VALUE!</v>
      </c>
      <c r="AO24" s="222" t="e">
        <f aca="false">$B24*$E24*$AM24</f>
        <v>#VALUE!</v>
      </c>
      <c r="AP24" s="222"/>
      <c r="AQ24" s="222" t="e">
        <f aca="false">H24*AO24</f>
        <v>#VALUE!</v>
      </c>
      <c r="AR24" s="222"/>
      <c r="AS24" s="174" t="e">
        <f aca="false">J24*$AO24</f>
        <v>#VALUE!</v>
      </c>
      <c r="AT24" s="174" t="e">
        <f aca="false">K24*$AO24</f>
        <v>#VALUE!</v>
      </c>
      <c r="AU24" s="174" t="e">
        <f aca="false">L24*$AO24</f>
        <v>#VALUE!</v>
      </c>
      <c r="AV24" s="174"/>
      <c r="AW24" s="174"/>
      <c r="AY24" s="220"/>
      <c r="AZ24" s="220"/>
      <c r="BA24" s="223"/>
      <c r="BC24" s="220"/>
      <c r="BE24" s="206"/>
    </row>
    <row r="25" customFormat="false" ht="12.75" hidden="false" customHeight="false" outlineLevel="0" collapsed="false">
      <c r="A25" s="167" t="e">
        <f aca="false">([1]!edate,A24,1)</f>
        <v>#VALUE!</v>
      </c>
      <c r="B25" s="201" t="e">
        <f aca="false">A26-A25</f>
        <v>#VALUE!</v>
      </c>
      <c r="C25" s="202" t="e">
        <f aca="false">IF(Control!$F$18="Physical",Model!A26+24,Model!A26)</f>
        <v>#VALUE!</v>
      </c>
      <c r="E25" s="203" t="e">
        <f aca="false">IF($A25&lt;End_Date,IF(Control!$C$20="Flat",Control!$C$21,VLOOKUP(Model!$A25,Euro!$B$29:$D$182,3)),0)</f>
        <v>#VALUE!</v>
      </c>
      <c r="F25" s="203" t="e">
        <f aca="false">E25*B25</f>
        <v>#VALUE!</v>
      </c>
      <c r="H25" s="204" t="e">
        <f aca="false">IF(Control!$C$27="Mid",VLOOKUP($A25,CurveFetch!$D$8:$F$367,3),VLOOKUP($A25,Euro!$B$29:$I$182,8))</f>
        <v>#VALUE!</v>
      </c>
      <c r="I25" s="204"/>
      <c r="J25" s="204" t="e">
        <f aca="false">IF($J$4="Mid",VLOOKUP($A25,Curve_Fetch,VLOOKUP(Control!$AJ$10,Control!$AI$11:$AK$22,3)),VLOOKUP($A25,Euro!$B$29:$M$182,12))</f>
        <v>#VALUE!</v>
      </c>
      <c r="K25" s="205" t="e">
        <f aca="false">IF(Control!$F$18="Physical",IF($K$4="Mid",VLOOKUP($A25,Curve_Fetch,VLOOKUP(Control!$AJ$10,Control!$AI$11:$AL$22,4)),VLOOKUP($A25,Euro!$B$29:$Q$182,16)),0)</f>
        <v>#VALUE!</v>
      </c>
      <c r="L25" s="204" t="e">
        <f aca="false">SUM(J25:K25)</f>
        <v>#VALUE!</v>
      </c>
      <c r="M25" s="204"/>
      <c r="N25" s="206" t="e">
        <f aca="false">L25+H25</f>
        <v>#VALUE!</v>
      </c>
      <c r="O25" s="206" t="e">
        <f aca="false">N25+Control!$C$39</f>
        <v>#VALUE!</v>
      </c>
      <c r="P25" s="207" t="e">
        <f aca="false">VLOOKUP($A25,CurveFetch!$D$8:$E$367,2)</f>
        <v>#VALUE!</v>
      </c>
      <c r="Q25" s="208" t="e">
        <f aca="false">P25</f>
        <v>#VALUE!</v>
      </c>
      <c r="R25" s="209" t="e">
        <f aca="true">A25-1-TODAY()</f>
        <v>#VALUE!</v>
      </c>
      <c r="S25" s="210" t="e">
        <f aca="false">VLOOKUP($A25,Curve_Fetch,VLOOKUP(Control!$AJ$10,Control!$AI$11:$AM$22,5))</f>
        <v>#VALUE!</v>
      </c>
      <c r="T25" s="211" t="e">
        <f aca="false">EURO(N25,O25,P25,Q25,S25,R25,IF(Control!$C$38="Call",1,0),0)</f>
        <v>#NAME?</v>
      </c>
      <c r="U25" s="174" t="e">
        <f aca="false">T25*B25*E25</f>
        <v>#VALUE!</v>
      </c>
      <c r="V25" s="212"/>
      <c r="W25" s="213"/>
      <c r="X25" s="213"/>
      <c r="Y25" s="213"/>
      <c r="AA25" s="214"/>
      <c r="AB25" s="214"/>
      <c r="AC25" s="215"/>
      <c r="AD25" s="216"/>
      <c r="AE25" s="217"/>
      <c r="AF25" s="218"/>
      <c r="AG25" s="219"/>
      <c r="AH25" s="220"/>
      <c r="AI25" s="174"/>
      <c r="AJ25" s="171" t="e">
        <f aca="false">Y25-L25</f>
        <v>#VALUE!</v>
      </c>
      <c r="AL25" s="208" t="e">
        <f aca="false">VLOOKUP($C25,Curve_Fetch,2)+Cost_of_Funds</f>
        <v>#VALUE!</v>
      </c>
      <c r="AM25" s="210" t="e">
        <f aca="false">1/(1+AL25/2)^(2*(C25-Val_Date)/365.25)</f>
        <v>#VALUE!</v>
      </c>
      <c r="AO25" s="222" t="e">
        <f aca="false">$B25*$E25*$AM25</f>
        <v>#VALUE!</v>
      </c>
      <c r="AP25" s="222"/>
      <c r="AQ25" s="222" t="e">
        <f aca="false">H25*AO25</f>
        <v>#VALUE!</v>
      </c>
      <c r="AR25" s="222"/>
      <c r="AS25" s="174" t="e">
        <f aca="false">J25*$AO25</f>
        <v>#VALUE!</v>
      </c>
      <c r="AT25" s="174" t="e">
        <f aca="false">K25*$AO25</f>
        <v>#VALUE!</v>
      </c>
      <c r="AU25" s="174" t="e">
        <f aca="false">L25*$AO25</f>
        <v>#VALUE!</v>
      </c>
      <c r="AV25" s="174"/>
      <c r="AW25" s="174"/>
      <c r="AY25" s="220"/>
      <c r="AZ25" s="220"/>
      <c r="BA25" s="223"/>
      <c r="BC25" s="220"/>
      <c r="BE25" s="206"/>
    </row>
    <row r="26" customFormat="false" ht="12.75" hidden="false" customHeight="false" outlineLevel="0" collapsed="false">
      <c r="A26" s="167" t="e">
        <f aca="false">([1]!edate,A25,1)</f>
        <v>#VALUE!</v>
      </c>
      <c r="B26" s="201" t="e">
        <f aca="false">A27-A26</f>
        <v>#VALUE!</v>
      </c>
      <c r="C26" s="202" t="e">
        <f aca="false">IF(Control!$F$18="Physical",Model!A27+24,Model!A27)</f>
        <v>#VALUE!</v>
      </c>
      <c r="E26" s="203" t="e">
        <f aca="false">IF($A26&lt;End_Date,IF(Control!$C$20="Flat",Control!$C$21,VLOOKUP(Model!$A26,Euro!$B$29:$D$182,3)),0)</f>
        <v>#VALUE!</v>
      </c>
      <c r="F26" s="203" t="e">
        <f aca="false">E26*B26</f>
        <v>#VALUE!</v>
      </c>
      <c r="H26" s="204" t="e">
        <f aca="false">IF(Control!$C$27="Mid",VLOOKUP($A26,CurveFetch!$D$8:$F$367,3),VLOOKUP($A26,Euro!$B$29:$I$182,8))</f>
        <v>#VALUE!</v>
      </c>
      <c r="I26" s="204"/>
      <c r="J26" s="204" t="e">
        <f aca="false">IF($J$4="Mid",VLOOKUP($A26,Curve_Fetch,VLOOKUP(Control!$AJ$10,Control!$AI$11:$AK$22,3)),VLOOKUP($A26,Euro!$B$29:$M$182,12))</f>
        <v>#VALUE!</v>
      </c>
      <c r="K26" s="205" t="e">
        <f aca="false">IF(Control!$F$18="Physical",IF($K$4="Mid",VLOOKUP($A26,Curve_Fetch,VLOOKUP(Control!$AJ$10,Control!$AI$11:$AL$22,4)),VLOOKUP($A26,Euro!$B$29:$Q$182,16)),0)</f>
        <v>#VALUE!</v>
      </c>
      <c r="L26" s="204" t="e">
        <f aca="false">SUM(J26:K26)</f>
        <v>#VALUE!</v>
      </c>
      <c r="M26" s="204"/>
      <c r="N26" s="206" t="e">
        <f aca="false">L26+H26</f>
        <v>#VALUE!</v>
      </c>
      <c r="O26" s="206" t="e">
        <f aca="false">N26+Control!$C$39</f>
        <v>#VALUE!</v>
      </c>
      <c r="P26" s="207" t="e">
        <f aca="false">VLOOKUP($A26,CurveFetch!$D$8:$E$367,2)</f>
        <v>#VALUE!</v>
      </c>
      <c r="Q26" s="208" t="e">
        <f aca="false">P26</f>
        <v>#VALUE!</v>
      </c>
      <c r="R26" s="209" t="e">
        <f aca="true">A26-1-TODAY()</f>
        <v>#VALUE!</v>
      </c>
      <c r="S26" s="210" t="e">
        <f aca="false">VLOOKUP($A26,Curve_Fetch,VLOOKUP(Control!$AJ$10,Control!$AI$11:$AM$22,5))</f>
        <v>#VALUE!</v>
      </c>
      <c r="T26" s="211" t="e">
        <f aca="false">EURO(N26,O26,P26,Q26,S26,R26,IF(Control!$C$38="Call",1,0),0)</f>
        <v>#NAME?</v>
      </c>
      <c r="U26" s="174" t="e">
        <f aca="false">T26*B26*E26</f>
        <v>#VALUE!</v>
      </c>
      <c r="V26" s="212"/>
      <c r="W26" s="213"/>
      <c r="X26" s="213"/>
      <c r="Y26" s="213"/>
      <c r="AA26" s="214"/>
      <c r="AB26" s="214"/>
      <c r="AC26" s="215"/>
      <c r="AD26" s="216"/>
      <c r="AE26" s="217"/>
      <c r="AF26" s="218"/>
      <c r="AG26" s="219"/>
      <c r="AH26" s="220"/>
      <c r="AI26" s="174"/>
      <c r="AJ26" s="171" t="e">
        <f aca="false">Y26-L26</f>
        <v>#VALUE!</v>
      </c>
      <c r="AL26" s="208" t="e">
        <f aca="false">VLOOKUP($C26,Curve_Fetch,2)+Cost_of_Funds</f>
        <v>#VALUE!</v>
      </c>
      <c r="AM26" s="210" t="e">
        <f aca="false">1/(1+AL26/2)^(2*(C26-Val_Date)/365.25)</f>
        <v>#VALUE!</v>
      </c>
      <c r="AO26" s="222" t="e">
        <f aca="false">$B26*$E26*$AM26</f>
        <v>#VALUE!</v>
      </c>
      <c r="AP26" s="222"/>
      <c r="AQ26" s="222" t="e">
        <f aca="false">H26*AO26</f>
        <v>#VALUE!</v>
      </c>
      <c r="AR26" s="222"/>
      <c r="AS26" s="174" t="e">
        <f aca="false">J26*$AO26</f>
        <v>#VALUE!</v>
      </c>
      <c r="AT26" s="174" t="e">
        <f aca="false">K26*$AO26</f>
        <v>#VALUE!</v>
      </c>
      <c r="AU26" s="174" t="e">
        <f aca="false">L26*$AO26</f>
        <v>#VALUE!</v>
      </c>
      <c r="AV26" s="174"/>
      <c r="AW26" s="174"/>
      <c r="AY26" s="220"/>
      <c r="AZ26" s="220"/>
      <c r="BA26" s="223"/>
      <c r="BC26" s="220"/>
      <c r="BE26" s="206"/>
    </row>
    <row r="27" customFormat="false" ht="12.75" hidden="false" customHeight="false" outlineLevel="0" collapsed="false">
      <c r="A27" s="167" t="e">
        <f aca="false">([1]!edate,A26,1)</f>
        <v>#VALUE!</v>
      </c>
      <c r="B27" s="201" t="e">
        <f aca="false">A28-A27</f>
        <v>#VALUE!</v>
      </c>
      <c r="C27" s="202" t="e">
        <f aca="false">IF(Control!$F$18="Physical",Model!A28+24,Model!A28)</f>
        <v>#VALUE!</v>
      </c>
      <c r="E27" s="203" t="e">
        <f aca="false">IF($A27&lt;End_Date,IF(Control!$C$20="Flat",Control!$C$21,VLOOKUP(Model!$A27,Euro!$B$29:$D$182,3)),0)</f>
        <v>#VALUE!</v>
      </c>
      <c r="F27" s="203" t="e">
        <f aca="false">E27*B27</f>
        <v>#VALUE!</v>
      </c>
      <c r="H27" s="204" t="e">
        <f aca="false">IF(Control!$C$27="Mid",VLOOKUP($A27,CurveFetch!$D$8:$F$367,3),VLOOKUP($A27,Euro!$B$29:$I$182,8))</f>
        <v>#VALUE!</v>
      </c>
      <c r="I27" s="204"/>
      <c r="J27" s="204" t="e">
        <f aca="false">IF($J$4="Mid",VLOOKUP($A27,Curve_Fetch,VLOOKUP(Control!$AJ$10,Control!$AI$11:$AK$22,3)),VLOOKUP($A27,Euro!$B$29:$M$182,12))</f>
        <v>#VALUE!</v>
      </c>
      <c r="K27" s="205" t="e">
        <f aca="false">IF(Control!$F$18="Physical",IF($K$4="Mid",VLOOKUP($A27,Curve_Fetch,VLOOKUP(Control!$AJ$10,Control!$AI$11:$AL$22,4)),VLOOKUP($A27,Euro!$B$29:$Q$182,16)),0)</f>
        <v>#VALUE!</v>
      </c>
      <c r="L27" s="204" t="e">
        <f aca="false">SUM(J27:K27)</f>
        <v>#VALUE!</v>
      </c>
      <c r="M27" s="204"/>
      <c r="N27" s="206" t="e">
        <f aca="false">L27+H27</f>
        <v>#VALUE!</v>
      </c>
      <c r="O27" s="206" t="e">
        <f aca="false">N27+Control!$C$39</f>
        <v>#VALUE!</v>
      </c>
      <c r="P27" s="207" t="e">
        <f aca="false">VLOOKUP($A27,CurveFetch!$D$8:$E$367,2)</f>
        <v>#VALUE!</v>
      </c>
      <c r="Q27" s="208" t="e">
        <f aca="false">P27</f>
        <v>#VALUE!</v>
      </c>
      <c r="R27" s="209" t="e">
        <f aca="true">A27-1-TODAY()</f>
        <v>#VALUE!</v>
      </c>
      <c r="S27" s="210" t="e">
        <f aca="false">VLOOKUP($A27,Curve_Fetch,VLOOKUP(Control!$AJ$10,Control!$AI$11:$AM$22,5))</f>
        <v>#VALUE!</v>
      </c>
      <c r="T27" s="211" t="e">
        <f aca="false">EURO(N27,O27,P27,Q27,S27,R27,IF(Control!$C$38="Call",1,0),0)</f>
        <v>#NAME?</v>
      </c>
      <c r="U27" s="174" t="e">
        <f aca="false">T27*B27*E27</f>
        <v>#VALUE!</v>
      </c>
      <c r="V27" s="212"/>
      <c r="W27" s="213"/>
      <c r="X27" s="213"/>
      <c r="Y27" s="213"/>
      <c r="AA27" s="214"/>
      <c r="AB27" s="214"/>
      <c r="AC27" s="215"/>
      <c r="AD27" s="216"/>
      <c r="AE27" s="217"/>
      <c r="AF27" s="218"/>
      <c r="AG27" s="219"/>
      <c r="AH27" s="220"/>
      <c r="AI27" s="174"/>
      <c r="AJ27" s="171" t="e">
        <f aca="false">Y27-L27</f>
        <v>#VALUE!</v>
      </c>
      <c r="AL27" s="208" t="e">
        <f aca="false">VLOOKUP($C27,Curve_Fetch,2)+Cost_of_Funds</f>
        <v>#VALUE!</v>
      </c>
      <c r="AM27" s="210" t="e">
        <f aca="false">1/(1+AL27/2)^(2*(C27-Val_Date)/365.25)</f>
        <v>#VALUE!</v>
      </c>
      <c r="AO27" s="222" t="e">
        <f aca="false">$B27*$E27*$AM27</f>
        <v>#VALUE!</v>
      </c>
      <c r="AP27" s="222"/>
      <c r="AQ27" s="222" t="e">
        <f aca="false">H27*AO27</f>
        <v>#VALUE!</v>
      </c>
      <c r="AR27" s="222"/>
      <c r="AS27" s="174" t="e">
        <f aca="false">J27*$AO27</f>
        <v>#VALUE!</v>
      </c>
      <c r="AT27" s="174" t="e">
        <f aca="false">K27*$AO27</f>
        <v>#VALUE!</v>
      </c>
      <c r="AU27" s="174" t="e">
        <f aca="false">L27*$AO27</f>
        <v>#VALUE!</v>
      </c>
      <c r="AV27" s="174"/>
      <c r="AW27" s="174"/>
      <c r="AY27" s="220"/>
      <c r="AZ27" s="220"/>
      <c r="BA27" s="223"/>
      <c r="BC27" s="220"/>
      <c r="BE27" s="206"/>
    </row>
    <row r="28" customFormat="false" ht="12.75" hidden="false" customHeight="false" outlineLevel="0" collapsed="false">
      <c r="A28" s="167" t="e">
        <f aca="false">([1]!edate,A27,1)</f>
        <v>#VALUE!</v>
      </c>
      <c r="B28" s="201" t="e">
        <f aca="false">A29-A28</f>
        <v>#VALUE!</v>
      </c>
      <c r="C28" s="202" t="e">
        <f aca="false">IF(Control!$F$18="Physical",Model!A29+24,Model!A29)</f>
        <v>#VALUE!</v>
      </c>
      <c r="E28" s="203" t="e">
        <f aca="false">IF($A28&lt;End_Date,IF(Control!$C$20="Flat",Control!$C$21,VLOOKUP(Model!$A28,Euro!$B$29:$D$182,3)),0)</f>
        <v>#VALUE!</v>
      </c>
      <c r="F28" s="203" t="e">
        <f aca="false">E28*B28</f>
        <v>#VALUE!</v>
      </c>
      <c r="H28" s="204" t="e">
        <f aca="false">IF(Control!$C$27="Mid",VLOOKUP($A28,CurveFetch!$D$8:$F$367,3),VLOOKUP($A28,Euro!$B$29:$I$182,8))</f>
        <v>#VALUE!</v>
      </c>
      <c r="I28" s="204"/>
      <c r="J28" s="204" t="e">
        <f aca="false">IF($J$4="Mid",VLOOKUP($A28,Curve_Fetch,VLOOKUP(Control!$AJ$10,Control!$AI$11:$AK$22,3)),VLOOKUP($A28,Euro!$B$29:$M$182,12))</f>
        <v>#VALUE!</v>
      </c>
      <c r="K28" s="205" t="e">
        <f aca="false">IF(Control!$F$18="Physical",IF($K$4="Mid",VLOOKUP($A28,Curve_Fetch,VLOOKUP(Control!$AJ$10,Control!$AI$11:$AL$22,4)),VLOOKUP($A28,Euro!$B$29:$Q$182,16)),0)</f>
        <v>#VALUE!</v>
      </c>
      <c r="L28" s="204" t="e">
        <f aca="false">SUM(J28:K28)</f>
        <v>#VALUE!</v>
      </c>
      <c r="M28" s="204"/>
      <c r="N28" s="206" t="e">
        <f aca="false">L28+H28</f>
        <v>#VALUE!</v>
      </c>
      <c r="O28" s="206" t="e">
        <f aca="false">N28+Control!$C$39</f>
        <v>#VALUE!</v>
      </c>
      <c r="P28" s="207" t="e">
        <f aca="false">VLOOKUP($A28,CurveFetch!$D$8:$E$367,2)</f>
        <v>#VALUE!</v>
      </c>
      <c r="Q28" s="208" t="e">
        <f aca="false">P28</f>
        <v>#VALUE!</v>
      </c>
      <c r="R28" s="209" t="e">
        <f aca="true">A28-1-TODAY()</f>
        <v>#VALUE!</v>
      </c>
      <c r="S28" s="210" t="e">
        <f aca="false">VLOOKUP($A28,Curve_Fetch,VLOOKUP(Control!$AJ$10,Control!$AI$11:$AM$22,5))</f>
        <v>#VALUE!</v>
      </c>
      <c r="T28" s="211" t="e">
        <f aca="false">EURO(N28,O28,P28,Q28,S28,R28,IF(Control!$C$38="Call",1,0),0)</f>
        <v>#NAME?</v>
      </c>
      <c r="U28" s="174" t="e">
        <f aca="false">T28*B28*E28</f>
        <v>#VALUE!</v>
      </c>
      <c r="V28" s="212"/>
      <c r="W28" s="213"/>
      <c r="X28" s="213"/>
      <c r="Y28" s="213"/>
      <c r="AA28" s="214"/>
      <c r="AB28" s="214"/>
      <c r="AC28" s="215"/>
      <c r="AD28" s="216"/>
      <c r="AE28" s="217"/>
      <c r="AF28" s="218"/>
      <c r="AG28" s="219"/>
      <c r="AH28" s="220"/>
      <c r="AI28" s="174"/>
      <c r="AJ28" s="171" t="e">
        <f aca="false">Y28-L28</f>
        <v>#VALUE!</v>
      </c>
      <c r="AL28" s="208" t="e">
        <f aca="false">VLOOKUP($C28,Curve_Fetch,2)+Cost_of_Funds</f>
        <v>#VALUE!</v>
      </c>
      <c r="AM28" s="210" t="e">
        <f aca="false">1/(1+AL28/2)^(2*(C28-Val_Date)/365.25)</f>
        <v>#VALUE!</v>
      </c>
      <c r="AO28" s="222" t="e">
        <f aca="false">$B28*$E28*$AM28</f>
        <v>#VALUE!</v>
      </c>
      <c r="AP28" s="222"/>
      <c r="AQ28" s="222" t="e">
        <f aca="false">H28*AO28</f>
        <v>#VALUE!</v>
      </c>
      <c r="AR28" s="222"/>
      <c r="AS28" s="174" t="e">
        <f aca="false">J28*$AO28</f>
        <v>#VALUE!</v>
      </c>
      <c r="AT28" s="174" t="e">
        <f aca="false">K28*$AO28</f>
        <v>#VALUE!</v>
      </c>
      <c r="AU28" s="174" t="e">
        <f aca="false">L28*$AO28</f>
        <v>#VALUE!</v>
      </c>
      <c r="AV28" s="174"/>
      <c r="AW28" s="174"/>
      <c r="AY28" s="220"/>
      <c r="AZ28" s="220"/>
      <c r="BA28" s="223"/>
      <c r="BC28" s="220"/>
      <c r="BE28" s="206"/>
    </row>
    <row r="29" customFormat="false" ht="12.75" hidden="false" customHeight="false" outlineLevel="0" collapsed="false">
      <c r="A29" s="167" t="e">
        <f aca="false">([1]!edate,A28,1)</f>
        <v>#VALUE!</v>
      </c>
      <c r="B29" s="201" t="e">
        <f aca="false">A30-A29</f>
        <v>#VALUE!</v>
      </c>
      <c r="C29" s="202" t="e">
        <f aca="false">IF(Control!$F$18="Physical",Model!A30+24,Model!A30)</f>
        <v>#VALUE!</v>
      </c>
      <c r="E29" s="203" t="e">
        <f aca="false">IF($A29&lt;End_Date,IF(Control!$C$20="Flat",Control!$C$21,VLOOKUP(Model!$A29,Euro!$B$29:$D$182,3)),0)</f>
        <v>#VALUE!</v>
      </c>
      <c r="F29" s="203" t="e">
        <f aca="false">E29*B29</f>
        <v>#VALUE!</v>
      </c>
      <c r="H29" s="204" t="e">
        <f aca="false">IF(Control!$C$27="Mid",VLOOKUP($A29,CurveFetch!$D$8:$F$367,3),VLOOKUP($A29,Euro!$B$29:$I$182,8))</f>
        <v>#VALUE!</v>
      </c>
      <c r="I29" s="204"/>
      <c r="J29" s="204" t="e">
        <f aca="false">IF($J$4="Mid",VLOOKUP($A29,Curve_Fetch,VLOOKUP(Control!$AJ$10,Control!$AI$11:$AK$22,3)),VLOOKUP($A29,Euro!$B$29:$M$182,12))</f>
        <v>#VALUE!</v>
      </c>
      <c r="K29" s="205" t="e">
        <f aca="false">IF(Control!$F$18="Physical",IF($K$4="Mid",VLOOKUP($A29,Curve_Fetch,VLOOKUP(Control!$AJ$10,Control!$AI$11:$AL$22,4)),VLOOKUP($A29,Euro!$B$29:$Q$182,16)),0)</f>
        <v>#VALUE!</v>
      </c>
      <c r="L29" s="204" t="e">
        <f aca="false">SUM(J29:K29)</f>
        <v>#VALUE!</v>
      </c>
      <c r="M29" s="204"/>
      <c r="N29" s="206" t="e">
        <f aca="false">L29+H29</f>
        <v>#VALUE!</v>
      </c>
      <c r="O29" s="206" t="e">
        <f aca="false">N29+Control!$C$39</f>
        <v>#VALUE!</v>
      </c>
      <c r="P29" s="207" t="e">
        <f aca="false">VLOOKUP($A29,CurveFetch!$D$8:$E$367,2)</f>
        <v>#VALUE!</v>
      </c>
      <c r="Q29" s="208" t="e">
        <f aca="false">P29</f>
        <v>#VALUE!</v>
      </c>
      <c r="R29" s="209" t="e">
        <f aca="true">A29-1-TODAY()</f>
        <v>#VALUE!</v>
      </c>
      <c r="S29" s="210" t="e">
        <f aca="false">VLOOKUP($A29,Curve_Fetch,VLOOKUP(Control!$AJ$10,Control!$AI$11:$AM$22,5))</f>
        <v>#VALUE!</v>
      </c>
      <c r="T29" s="211" t="e">
        <f aca="false">EURO(N29,O29,P29,Q29,S29,R29,IF(Control!$C$38="Call",1,0),0)</f>
        <v>#NAME?</v>
      </c>
      <c r="U29" s="174" t="e">
        <f aca="false">T29*B29*E29</f>
        <v>#VALUE!</v>
      </c>
      <c r="V29" s="212"/>
      <c r="W29" s="213"/>
      <c r="X29" s="213"/>
      <c r="Y29" s="213"/>
      <c r="AA29" s="214"/>
      <c r="AB29" s="214"/>
      <c r="AC29" s="215"/>
      <c r="AD29" s="216"/>
      <c r="AE29" s="217"/>
      <c r="AF29" s="218"/>
      <c r="AG29" s="219"/>
      <c r="AH29" s="220"/>
      <c r="AI29" s="174"/>
      <c r="AJ29" s="171" t="e">
        <f aca="false">Y29-L29</f>
        <v>#VALUE!</v>
      </c>
      <c r="AL29" s="208" t="e">
        <f aca="false">VLOOKUP($C29,Curve_Fetch,2)+Cost_of_Funds</f>
        <v>#VALUE!</v>
      </c>
      <c r="AM29" s="210" t="e">
        <f aca="false">1/(1+AL29/2)^(2*(C29-Val_Date)/365.25)</f>
        <v>#VALUE!</v>
      </c>
      <c r="AO29" s="222" t="e">
        <f aca="false">$B29*$E29*$AM29</f>
        <v>#VALUE!</v>
      </c>
      <c r="AP29" s="222"/>
      <c r="AQ29" s="222" t="e">
        <f aca="false">H29*AO29</f>
        <v>#VALUE!</v>
      </c>
      <c r="AR29" s="222"/>
      <c r="AS29" s="174" t="e">
        <f aca="false">J29*$AO29</f>
        <v>#VALUE!</v>
      </c>
      <c r="AT29" s="174" t="e">
        <f aca="false">K29*$AO29</f>
        <v>#VALUE!</v>
      </c>
      <c r="AU29" s="174" t="e">
        <f aca="false">L29*$AO29</f>
        <v>#VALUE!</v>
      </c>
      <c r="AV29" s="174"/>
      <c r="AW29" s="174"/>
      <c r="AY29" s="220"/>
      <c r="AZ29" s="220"/>
      <c r="BA29" s="223"/>
      <c r="BC29" s="220"/>
      <c r="BE29" s="206"/>
    </row>
    <row r="30" customFormat="false" ht="12.75" hidden="false" customHeight="false" outlineLevel="0" collapsed="false">
      <c r="A30" s="167" t="e">
        <f aca="false">([1]!edate,A29,1)</f>
        <v>#VALUE!</v>
      </c>
      <c r="B30" s="201" t="e">
        <f aca="false">A31-A30</f>
        <v>#VALUE!</v>
      </c>
      <c r="C30" s="202" t="e">
        <f aca="false">IF(Control!$F$18="Physical",Model!A31+24,Model!A31)</f>
        <v>#VALUE!</v>
      </c>
      <c r="E30" s="203" t="e">
        <f aca="false">IF($A30&lt;End_Date,IF(Control!$C$20="Flat",Control!$C$21,VLOOKUP(Model!$A30,Euro!$B$29:$D$182,3)),0)</f>
        <v>#VALUE!</v>
      </c>
      <c r="F30" s="203" t="e">
        <f aca="false">E30*B30</f>
        <v>#VALUE!</v>
      </c>
      <c r="H30" s="204" t="e">
        <f aca="false">IF(Control!$C$27="Mid",VLOOKUP($A30,CurveFetch!$D$8:$F$367,3),VLOOKUP($A30,Euro!$B$29:$I$182,8))</f>
        <v>#VALUE!</v>
      </c>
      <c r="I30" s="204"/>
      <c r="J30" s="204" t="e">
        <f aca="false">IF($J$4="Mid",VLOOKUP($A30,Curve_Fetch,VLOOKUP(Control!$AJ$10,Control!$AI$11:$AK$22,3)),VLOOKUP($A30,Euro!$B$29:$M$182,12))</f>
        <v>#VALUE!</v>
      </c>
      <c r="K30" s="205" t="e">
        <f aca="false">IF(Control!$F$18="Physical",IF($K$4="Mid",VLOOKUP($A30,Curve_Fetch,VLOOKUP(Control!$AJ$10,Control!$AI$11:$AL$22,4)),VLOOKUP($A30,Euro!$B$29:$Q$182,16)),0)</f>
        <v>#VALUE!</v>
      </c>
      <c r="L30" s="204" t="e">
        <f aca="false">SUM(J30:K30)</f>
        <v>#VALUE!</v>
      </c>
      <c r="M30" s="204"/>
      <c r="N30" s="206" t="e">
        <f aca="false">L30+H30</f>
        <v>#VALUE!</v>
      </c>
      <c r="O30" s="206" t="e">
        <f aca="false">N30+Control!$C$39</f>
        <v>#VALUE!</v>
      </c>
      <c r="P30" s="207" t="e">
        <f aca="false">VLOOKUP($A30,CurveFetch!$D$8:$E$367,2)</f>
        <v>#VALUE!</v>
      </c>
      <c r="Q30" s="208" t="e">
        <f aca="false">P30</f>
        <v>#VALUE!</v>
      </c>
      <c r="R30" s="209" t="e">
        <f aca="true">A30-1-TODAY()</f>
        <v>#VALUE!</v>
      </c>
      <c r="S30" s="210" t="e">
        <f aca="false">VLOOKUP($A30,Curve_Fetch,VLOOKUP(Control!$AJ$10,Control!$AI$11:$AM$22,5))</f>
        <v>#VALUE!</v>
      </c>
      <c r="T30" s="211" t="e">
        <f aca="false">EURO(N30,O30,P30,Q30,S30,R30,IF(Control!$C$38="Call",1,0),0)</f>
        <v>#NAME?</v>
      </c>
      <c r="U30" s="174" t="e">
        <f aca="false">T30*B30*E30</f>
        <v>#VALUE!</v>
      </c>
      <c r="V30" s="212"/>
      <c r="W30" s="213"/>
      <c r="X30" s="213"/>
      <c r="Y30" s="213"/>
      <c r="AA30" s="214"/>
      <c r="AB30" s="214"/>
      <c r="AC30" s="215"/>
      <c r="AD30" s="216"/>
      <c r="AE30" s="217"/>
      <c r="AF30" s="218"/>
      <c r="AG30" s="219"/>
      <c r="AH30" s="220"/>
      <c r="AI30" s="174"/>
      <c r="AJ30" s="171" t="e">
        <f aca="false">Y30-L30</f>
        <v>#VALUE!</v>
      </c>
      <c r="AL30" s="208" t="e">
        <f aca="false">VLOOKUP($C30,Curve_Fetch,2)+Cost_of_Funds</f>
        <v>#VALUE!</v>
      </c>
      <c r="AM30" s="210" t="e">
        <f aca="false">1/(1+AL30/2)^(2*(C30-Val_Date)/365.25)</f>
        <v>#VALUE!</v>
      </c>
      <c r="AO30" s="222" t="e">
        <f aca="false">$B30*$E30*$AM30</f>
        <v>#VALUE!</v>
      </c>
      <c r="AP30" s="222"/>
      <c r="AQ30" s="222" t="e">
        <f aca="false">H30*AO30</f>
        <v>#VALUE!</v>
      </c>
      <c r="AR30" s="222"/>
      <c r="AS30" s="174" t="e">
        <f aca="false">J30*$AO30</f>
        <v>#VALUE!</v>
      </c>
      <c r="AT30" s="174" t="e">
        <f aca="false">K30*$AO30</f>
        <v>#VALUE!</v>
      </c>
      <c r="AU30" s="174" t="e">
        <f aca="false">L30*$AO30</f>
        <v>#VALUE!</v>
      </c>
      <c r="AV30" s="174"/>
      <c r="AW30" s="174"/>
      <c r="AY30" s="220"/>
      <c r="AZ30" s="220"/>
      <c r="BA30" s="223"/>
      <c r="BC30" s="220"/>
      <c r="BE30" s="206"/>
    </row>
    <row r="31" customFormat="false" ht="12.75" hidden="false" customHeight="false" outlineLevel="0" collapsed="false">
      <c r="A31" s="167" t="e">
        <f aca="false">([1]!edate,A30,1)</f>
        <v>#VALUE!</v>
      </c>
      <c r="B31" s="201" t="e">
        <f aca="false">A32-A31</f>
        <v>#VALUE!</v>
      </c>
      <c r="C31" s="202" t="e">
        <f aca="false">IF(Control!$F$18="Physical",Model!A32+24,Model!A32)</f>
        <v>#VALUE!</v>
      </c>
      <c r="E31" s="203" t="e">
        <f aca="false">IF($A31&lt;End_Date,IF(Control!$C$20="Flat",Control!$C$21,VLOOKUP(Model!$A31,Euro!$B$29:$D$182,3)),0)</f>
        <v>#VALUE!</v>
      </c>
      <c r="F31" s="203" t="e">
        <f aca="false">E31*B31</f>
        <v>#VALUE!</v>
      </c>
      <c r="H31" s="204" t="e">
        <f aca="false">IF(Control!$C$27="Mid",VLOOKUP($A31,CurveFetch!$D$8:$F$367,3),VLOOKUP($A31,Euro!$B$29:$I$182,8))</f>
        <v>#VALUE!</v>
      </c>
      <c r="I31" s="204"/>
      <c r="J31" s="204" t="e">
        <f aca="false">IF($J$4="Mid",VLOOKUP($A31,Curve_Fetch,VLOOKUP(Control!$AJ$10,Control!$AI$11:$AK$22,3)),VLOOKUP($A31,Euro!$B$29:$M$182,12))</f>
        <v>#VALUE!</v>
      </c>
      <c r="K31" s="205" t="e">
        <f aca="false">IF(Control!$F$18="Physical",IF($K$4="Mid",VLOOKUP($A31,Curve_Fetch,VLOOKUP(Control!$AJ$10,Control!$AI$11:$AL$22,4)),VLOOKUP($A31,Euro!$B$29:$Q$182,16)),0)</f>
        <v>#VALUE!</v>
      </c>
      <c r="L31" s="204" t="e">
        <f aca="false">SUM(J31:K31)</f>
        <v>#VALUE!</v>
      </c>
      <c r="M31" s="204"/>
      <c r="N31" s="206" t="e">
        <f aca="false">L31+H31</f>
        <v>#VALUE!</v>
      </c>
      <c r="O31" s="206" t="e">
        <f aca="false">N31+Control!$C$39</f>
        <v>#VALUE!</v>
      </c>
      <c r="P31" s="207" t="e">
        <f aca="false">VLOOKUP($A31,CurveFetch!$D$8:$E$367,2)</f>
        <v>#VALUE!</v>
      </c>
      <c r="Q31" s="208" t="e">
        <f aca="false">P31</f>
        <v>#VALUE!</v>
      </c>
      <c r="R31" s="209" t="e">
        <f aca="true">A31-1-TODAY()</f>
        <v>#VALUE!</v>
      </c>
      <c r="S31" s="210" t="e">
        <f aca="false">VLOOKUP($A31,Curve_Fetch,VLOOKUP(Control!$AJ$10,Control!$AI$11:$AM$22,5))</f>
        <v>#VALUE!</v>
      </c>
      <c r="T31" s="211" t="e">
        <f aca="false">EURO(N31,O31,P31,Q31,S31,R31,IF(Control!$C$38="Call",1,0),0)</f>
        <v>#NAME?</v>
      </c>
      <c r="U31" s="174" t="e">
        <f aca="false">T31*B31*E31</f>
        <v>#VALUE!</v>
      </c>
      <c r="V31" s="212"/>
      <c r="W31" s="213"/>
      <c r="X31" s="213"/>
      <c r="Y31" s="213"/>
      <c r="AA31" s="214"/>
      <c r="AB31" s="214"/>
      <c r="AC31" s="215"/>
      <c r="AD31" s="216"/>
      <c r="AE31" s="217"/>
      <c r="AF31" s="218"/>
      <c r="AG31" s="219"/>
      <c r="AH31" s="220"/>
      <c r="AI31" s="174"/>
      <c r="AJ31" s="171" t="e">
        <f aca="false">Y31-L31</f>
        <v>#VALUE!</v>
      </c>
      <c r="AL31" s="208" t="e">
        <f aca="false">VLOOKUP($C31,Curve_Fetch,2)+Cost_of_Funds</f>
        <v>#VALUE!</v>
      </c>
      <c r="AM31" s="210" t="e">
        <f aca="false">1/(1+AL31/2)^(2*(C31-Val_Date)/365.25)</f>
        <v>#VALUE!</v>
      </c>
      <c r="AO31" s="222" t="e">
        <f aca="false">$B31*$E31*$AM31</f>
        <v>#VALUE!</v>
      </c>
      <c r="AP31" s="222"/>
      <c r="AQ31" s="222" t="e">
        <f aca="false">H31*AO31</f>
        <v>#VALUE!</v>
      </c>
      <c r="AR31" s="222"/>
      <c r="AS31" s="174" t="e">
        <f aca="false">J31*$AO31</f>
        <v>#VALUE!</v>
      </c>
      <c r="AT31" s="174" t="e">
        <f aca="false">K31*$AO31</f>
        <v>#VALUE!</v>
      </c>
      <c r="AU31" s="174" t="e">
        <f aca="false">L31*$AO31</f>
        <v>#VALUE!</v>
      </c>
      <c r="AV31" s="174"/>
      <c r="AW31" s="174"/>
      <c r="AY31" s="220"/>
      <c r="AZ31" s="220"/>
      <c r="BA31" s="223"/>
      <c r="BC31" s="220"/>
      <c r="BE31" s="206"/>
    </row>
    <row r="32" customFormat="false" ht="12.75" hidden="false" customHeight="false" outlineLevel="0" collapsed="false">
      <c r="A32" s="167" t="e">
        <f aca="false">([1]!edate,A31,1)</f>
        <v>#VALUE!</v>
      </c>
      <c r="B32" s="201" t="e">
        <f aca="false">A33-A32</f>
        <v>#VALUE!</v>
      </c>
      <c r="C32" s="202" t="e">
        <f aca="false">IF(Control!$F$18="Physical",Model!A33+24,Model!A33)</f>
        <v>#VALUE!</v>
      </c>
      <c r="E32" s="203" t="e">
        <f aca="false">IF($A32&lt;End_Date,IF(Control!$C$20="Flat",Control!$C$21,VLOOKUP(Model!$A32,Euro!$B$29:$D$182,3)),0)</f>
        <v>#VALUE!</v>
      </c>
      <c r="F32" s="203" t="e">
        <f aca="false">E32*B32</f>
        <v>#VALUE!</v>
      </c>
      <c r="H32" s="204" t="e">
        <f aca="false">IF(Control!$C$27="Mid",VLOOKUP($A32,CurveFetch!$D$8:$F$367,3),VLOOKUP($A32,Euro!$B$29:$I$182,8))</f>
        <v>#VALUE!</v>
      </c>
      <c r="I32" s="204"/>
      <c r="J32" s="204" t="e">
        <f aca="false">IF($J$4="Mid",VLOOKUP($A32,Curve_Fetch,VLOOKUP(Control!$AJ$10,Control!$AI$11:$AK$22,3)),VLOOKUP($A32,Euro!$B$29:$M$182,12))</f>
        <v>#VALUE!</v>
      </c>
      <c r="K32" s="205" t="e">
        <f aca="false">IF(Control!$F$18="Physical",IF($K$4="Mid",VLOOKUP($A32,Curve_Fetch,VLOOKUP(Control!$AJ$10,Control!$AI$11:$AL$22,4)),VLOOKUP($A32,Euro!$B$29:$Q$182,16)),0)</f>
        <v>#VALUE!</v>
      </c>
      <c r="L32" s="204" t="e">
        <f aca="false">SUM(J32:K32)</f>
        <v>#VALUE!</v>
      </c>
      <c r="M32" s="204"/>
      <c r="N32" s="206" t="e">
        <f aca="false">L32+H32</f>
        <v>#VALUE!</v>
      </c>
      <c r="O32" s="206" t="e">
        <f aca="false">N32+Control!$C$39</f>
        <v>#VALUE!</v>
      </c>
      <c r="P32" s="207" t="e">
        <f aca="false">VLOOKUP($A32,CurveFetch!$D$8:$E$367,2)</f>
        <v>#VALUE!</v>
      </c>
      <c r="Q32" s="208" t="e">
        <f aca="false">P32</f>
        <v>#VALUE!</v>
      </c>
      <c r="R32" s="209" t="e">
        <f aca="true">A32-1-TODAY()</f>
        <v>#VALUE!</v>
      </c>
      <c r="S32" s="210" t="e">
        <f aca="false">VLOOKUP($A32,Curve_Fetch,VLOOKUP(Control!$AJ$10,Control!$AI$11:$AM$22,5))</f>
        <v>#VALUE!</v>
      </c>
      <c r="T32" s="211" t="e">
        <f aca="false">EURO(N32,O32,P32,Q32,S32,R32,IF(Control!$C$38="Call",1,0),0)</f>
        <v>#NAME?</v>
      </c>
      <c r="U32" s="174" t="e">
        <f aca="false">T32*B32*E32</f>
        <v>#VALUE!</v>
      </c>
      <c r="V32" s="212"/>
      <c r="W32" s="213"/>
      <c r="X32" s="213"/>
      <c r="Y32" s="213"/>
      <c r="AA32" s="214"/>
      <c r="AB32" s="214"/>
      <c r="AC32" s="215"/>
      <c r="AD32" s="216"/>
      <c r="AE32" s="217"/>
      <c r="AF32" s="218"/>
      <c r="AG32" s="219"/>
      <c r="AH32" s="220"/>
      <c r="AI32" s="174"/>
      <c r="AJ32" s="171" t="e">
        <f aca="false">Y32-L32</f>
        <v>#VALUE!</v>
      </c>
      <c r="AL32" s="208" t="e">
        <f aca="false">VLOOKUP($C32,Curve_Fetch,2)+Cost_of_Funds</f>
        <v>#VALUE!</v>
      </c>
      <c r="AM32" s="210" t="e">
        <f aca="false">1/(1+AL32/2)^(2*(C32-Val_Date)/365.25)</f>
        <v>#VALUE!</v>
      </c>
      <c r="AO32" s="222" t="e">
        <f aca="false">$B32*$E32*$AM32</f>
        <v>#VALUE!</v>
      </c>
      <c r="AP32" s="222"/>
      <c r="AQ32" s="222" t="e">
        <f aca="false">H32*AO32</f>
        <v>#VALUE!</v>
      </c>
      <c r="AR32" s="222"/>
      <c r="AS32" s="174" t="e">
        <f aca="false">J32*$AO32</f>
        <v>#VALUE!</v>
      </c>
      <c r="AT32" s="174" t="e">
        <f aca="false">K32*$AO32</f>
        <v>#VALUE!</v>
      </c>
      <c r="AU32" s="174" t="e">
        <f aca="false">L32*$AO32</f>
        <v>#VALUE!</v>
      </c>
      <c r="AV32" s="174"/>
      <c r="AW32" s="174"/>
      <c r="AY32" s="220"/>
      <c r="AZ32" s="220"/>
      <c r="BA32" s="223"/>
      <c r="BC32" s="220"/>
      <c r="BE32" s="206"/>
    </row>
    <row r="33" customFormat="false" ht="12.75" hidden="false" customHeight="false" outlineLevel="0" collapsed="false">
      <c r="A33" s="167" t="e">
        <f aca="false">([1]!edate,A32,1)</f>
        <v>#VALUE!</v>
      </c>
      <c r="B33" s="201" t="e">
        <f aca="false">A34-A33</f>
        <v>#VALUE!</v>
      </c>
      <c r="C33" s="202" t="e">
        <f aca="false">IF(Control!$F$18="Physical",Model!A34+24,Model!A34)</f>
        <v>#VALUE!</v>
      </c>
      <c r="E33" s="203" t="e">
        <f aca="false">IF($A33&lt;End_Date,IF(Control!$C$20="Flat",Control!$C$21,VLOOKUP(Model!$A33,Euro!$B$29:$D$182,3)),0)</f>
        <v>#VALUE!</v>
      </c>
      <c r="F33" s="203" t="e">
        <f aca="false">E33*B33</f>
        <v>#VALUE!</v>
      </c>
      <c r="H33" s="204" t="e">
        <f aca="false">IF(Control!$C$27="Mid",VLOOKUP($A33,CurveFetch!$D$8:$F$367,3),VLOOKUP($A33,Euro!$B$29:$I$182,8))</f>
        <v>#VALUE!</v>
      </c>
      <c r="I33" s="204"/>
      <c r="J33" s="204" t="e">
        <f aca="false">IF($J$4="Mid",VLOOKUP($A33,Curve_Fetch,VLOOKUP(Control!$AJ$10,Control!$AI$11:$AK$22,3)),VLOOKUP($A33,Euro!$B$29:$M$182,12))</f>
        <v>#VALUE!</v>
      </c>
      <c r="K33" s="205" t="e">
        <f aca="false">IF(Control!$F$18="Physical",IF($K$4="Mid",VLOOKUP($A33,Curve_Fetch,VLOOKUP(Control!$AJ$10,Control!$AI$11:$AL$22,4)),VLOOKUP($A33,Euro!$B$29:$Q$182,16)),0)</f>
        <v>#VALUE!</v>
      </c>
      <c r="L33" s="204" t="e">
        <f aca="false">SUM(J33:K33)</f>
        <v>#VALUE!</v>
      </c>
      <c r="M33" s="204"/>
      <c r="N33" s="206" t="e">
        <f aca="false">L33+H33</f>
        <v>#VALUE!</v>
      </c>
      <c r="O33" s="206" t="e">
        <f aca="false">N33+Control!$C$39</f>
        <v>#VALUE!</v>
      </c>
      <c r="P33" s="207" t="e">
        <f aca="false">VLOOKUP($A33,CurveFetch!$D$8:$E$367,2)</f>
        <v>#VALUE!</v>
      </c>
      <c r="Q33" s="208" t="e">
        <f aca="false">P33</f>
        <v>#VALUE!</v>
      </c>
      <c r="R33" s="209" t="e">
        <f aca="true">A33-1-TODAY()</f>
        <v>#VALUE!</v>
      </c>
      <c r="S33" s="210" t="e">
        <f aca="false">VLOOKUP($A33,Curve_Fetch,VLOOKUP(Control!$AJ$10,Control!$AI$11:$AM$22,5))</f>
        <v>#VALUE!</v>
      </c>
      <c r="T33" s="211" t="e">
        <f aca="false">EURO(N33,O33,P33,Q33,S33,R33,IF(Control!$C$38="Call",1,0),0)</f>
        <v>#NAME?</v>
      </c>
      <c r="U33" s="174" t="e">
        <f aca="false">T33*B33*E33</f>
        <v>#VALUE!</v>
      </c>
      <c r="V33" s="212"/>
      <c r="W33" s="213"/>
      <c r="X33" s="213"/>
      <c r="Y33" s="213"/>
      <c r="AA33" s="214"/>
      <c r="AB33" s="214"/>
      <c r="AC33" s="215"/>
      <c r="AD33" s="216"/>
      <c r="AE33" s="217"/>
      <c r="AF33" s="218"/>
      <c r="AG33" s="219"/>
      <c r="AH33" s="220"/>
      <c r="AI33" s="174"/>
      <c r="AJ33" s="171" t="e">
        <f aca="false">Y33-L33</f>
        <v>#VALUE!</v>
      </c>
      <c r="AL33" s="208" t="e">
        <f aca="false">VLOOKUP($C33,Curve_Fetch,2)+Cost_of_Funds</f>
        <v>#VALUE!</v>
      </c>
      <c r="AM33" s="210" t="e">
        <f aca="false">1/(1+AL33/2)^(2*(C33-Val_Date)/365.25)</f>
        <v>#VALUE!</v>
      </c>
      <c r="AO33" s="222" t="e">
        <f aca="false">$B33*$E33*$AM33</f>
        <v>#VALUE!</v>
      </c>
      <c r="AP33" s="222"/>
      <c r="AQ33" s="222" t="e">
        <f aca="false">H33*AO33</f>
        <v>#VALUE!</v>
      </c>
      <c r="AR33" s="222"/>
      <c r="AS33" s="174" t="e">
        <f aca="false">J33*$AO33</f>
        <v>#VALUE!</v>
      </c>
      <c r="AT33" s="174" t="e">
        <f aca="false">K33*$AO33</f>
        <v>#VALUE!</v>
      </c>
      <c r="AU33" s="174" t="e">
        <f aca="false">L33*$AO33</f>
        <v>#VALUE!</v>
      </c>
      <c r="AV33" s="174"/>
      <c r="AW33" s="174"/>
      <c r="AY33" s="220"/>
      <c r="AZ33" s="220"/>
      <c r="BA33" s="223"/>
      <c r="BC33" s="220"/>
      <c r="BE33" s="206"/>
    </row>
    <row r="34" customFormat="false" ht="12.75" hidden="false" customHeight="false" outlineLevel="0" collapsed="false">
      <c r="A34" s="167" t="e">
        <f aca="false">([1]!edate,A33,1)</f>
        <v>#VALUE!</v>
      </c>
      <c r="B34" s="201" t="e">
        <f aca="false">A35-A34</f>
        <v>#VALUE!</v>
      </c>
      <c r="C34" s="202" t="e">
        <f aca="false">IF(Control!$F$18="Physical",Model!A35+24,Model!A35)</f>
        <v>#VALUE!</v>
      </c>
      <c r="E34" s="203" t="e">
        <f aca="false">IF($A34&lt;End_Date,IF(Control!$C$20="Flat",Control!$C$21,VLOOKUP(Model!$A34,Euro!$B$29:$D$182,3)),0)</f>
        <v>#VALUE!</v>
      </c>
      <c r="F34" s="203" t="e">
        <f aca="false">E34*B34</f>
        <v>#VALUE!</v>
      </c>
      <c r="H34" s="204" t="e">
        <f aca="false">IF(Control!$C$27="Mid",VLOOKUP($A34,CurveFetch!$D$8:$F$367,3),VLOOKUP($A34,Euro!$B$29:$I$182,8))</f>
        <v>#VALUE!</v>
      </c>
      <c r="I34" s="204"/>
      <c r="J34" s="204" t="e">
        <f aca="false">IF($J$4="Mid",VLOOKUP($A34,Curve_Fetch,VLOOKUP(Control!$AJ$10,Control!$AI$11:$AK$22,3)),VLOOKUP($A34,Euro!$B$29:$M$182,12))</f>
        <v>#VALUE!</v>
      </c>
      <c r="K34" s="205" t="e">
        <f aca="false">IF(Control!$F$18="Physical",IF($K$4="Mid",VLOOKUP($A34,Curve_Fetch,VLOOKUP(Control!$AJ$10,Control!$AI$11:$AL$22,4)),VLOOKUP($A34,Euro!$B$29:$Q$182,16)),0)</f>
        <v>#VALUE!</v>
      </c>
      <c r="L34" s="204" t="e">
        <f aca="false">SUM(J34:K34)</f>
        <v>#VALUE!</v>
      </c>
      <c r="M34" s="204"/>
      <c r="N34" s="206" t="e">
        <f aca="false">L34+H34</f>
        <v>#VALUE!</v>
      </c>
      <c r="O34" s="206" t="e">
        <f aca="false">N34+Control!$C$39</f>
        <v>#VALUE!</v>
      </c>
      <c r="P34" s="207" t="e">
        <f aca="false">VLOOKUP($A34,CurveFetch!$D$8:$E$367,2)</f>
        <v>#VALUE!</v>
      </c>
      <c r="Q34" s="208" t="e">
        <f aca="false">P34</f>
        <v>#VALUE!</v>
      </c>
      <c r="R34" s="209" t="e">
        <f aca="true">A34-1-TODAY()</f>
        <v>#VALUE!</v>
      </c>
      <c r="S34" s="210" t="e">
        <f aca="false">VLOOKUP($A34,Curve_Fetch,VLOOKUP(Control!$AJ$10,Control!$AI$11:$AM$22,5))</f>
        <v>#VALUE!</v>
      </c>
      <c r="T34" s="211" t="e">
        <f aca="false">EURO(N34,O34,P34,Q34,S34,R34,IF(Control!$C$38="Call",1,0),0)</f>
        <v>#NAME?</v>
      </c>
      <c r="U34" s="174" t="e">
        <f aca="false">T34*B34*E34</f>
        <v>#VALUE!</v>
      </c>
      <c r="V34" s="212"/>
      <c r="W34" s="213"/>
      <c r="X34" s="213"/>
      <c r="Y34" s="213"/>
      <c r="AA34" s="214"/>
      <c r="AB34" s="214"/>
      <c r="AC34" s="215"/>
      <c r="AD34" s="216"/>
      <c r="AE34" s="217"/>
      <c r="AF34" s="218"/>
      <c r="AG34" s="219"/>
      <c r="AH34" s="220"/>
      <c r="AI34" s="174"/>
      <c r="AJ34" s="171" t="e">
        <f aca="false">Y34-L34</f>
        <v>#VALUE!</v>
      </c>
      <c r="AL34" s="208" t="e">
        <f aca="false">VLOOKUP($C34,Curve_Fetch,2)+Cost_of_Funds</f>
        <v>#VALUE!</v>
      </c>
      <c r="AM34" s="210" t="e">
        <f aca="false">1/(1+AL34/2)^(2*(C34-Val_Date)/365.25)</f>
        <v>#VALUE!</v>
      </c>
      <c r="AO34" s="222" t="e">
        <f aca="false">$B34*$E34*$AM34</f>
        <v>#VALUE!</v>
      </c>
      <c r="AP34" s="222"/>
      <c r="AQ34" s="222" t="e">
        <f aca="false">H34*AO34</f>
        <v>#VALUE!</v>
      </c>
      <c r="AR34" s="222"/>
      <c r="AS34" s="174" t="e">
        <f aca="false">J34*$AO34</f>
        <v>#VALUE!</v>
      </c>
      <c r="AT34" s="174" t="e">
        <f aca="false">K34*$AO34</f>
        <v>#VALUE!</v>
      </c>
      <c r="AU34" s="174" t="e">
        <f aca="false">L34*$AO34</f>
        <v>#VALUE!</v>
      </c>
      <c r="AV34" s="174"/>
      <c r="AW34" s="174"/>
      <c r="AY34" s="220"/>
      <c r="AZ34" s="220"/>
      <c r="BA34" s="223"/>
      <c r="BC34" s="220"/>
      <c r="BE34" s="206"/>
    </row>
    <row r="35" customFormat="false" ht="12.75" hidden="false" customHeight="false" outlineLevel="0" collapsed="false">
      <c r="A35" s="167" t="e">
        <f aca="false">([1]!edate,A34,1)</f>
        <v>#VALUE!</v>
      </c>
      <c r="B35" s="201" t="e">
        <f aca="false">A36-A35</f>
        <v>#VALUE!</v>
      </c>
      <c r="C35" s="202" t="e">
        <f aca="false">IF(Control!$F$18="Physical",Model!A36+24,Model!A36)</f>
        <v>#VALUE!</v>
      </c>
      <c r="E35" s="203" t="e">
        <f aca="false">IF($A35&lt;End_Date,IF(Control!$C$20="Flat",Control!$C$21,VLOOKUP(Model!$A35,Euro!$B$29:$D$182,3)),0)</f>
        <v>#VALUE!</v>
      </c>
      <c r="F35" s="203" t="e">
        <f aca="false">E35*B35</f>
        <v>#VALUE!</v>
      </c>
      <c r="H35" s="204" t="e">
        <f aca="false">IF(Control!$C$27="Mid",VLOOKUP($A35,CurveFetch!$D$8:$F$367,3),VLOOKUP($A35,Euro!$B$29:$I$182,8))</f>
        <v>#VALUE!</v>
      </c>
      <c r="I35" s="204"/>
      <c r="J35" s="204" t="e">
        <f aca="false">IF($J$4="Mid",VLOOKUP($A35,Curve_Fetch,VLOOKUP(Control!$AJ$10,Control!$AI$11:$AK$22,3)),VLOOKUP($A35,Euro!$B$29:$M$182,12))</f>
        <v>#VALUE!</v>
      </c>
      <c r="K35" s="205" t="e">
        <f aca="false">IF(Control!$F$18="Physical",IF($K$4="Mid",VLOOKUP($A35,Curve_Fetch,VLOOKUP(Control!$AJ$10,Control!$AI$11:$AL$22,4)),VLOOKUP($A35,Euro!$B$29:$Q$182,16)),0)</f>
        <v>#VALUE!</v>
      </c>
      <c r="L35" s="204" t="e">
        <f aca="false">SUM(J35:K35)</f>
        <v>#VALUE!</v>
      </c>
      <c r="M35" s="204"/>
      <c r="N35" s="206" t="e">
        <f aca="false">L35+H35</f>
        <v>#VALUE!</v>
      </c>
      <c r="O35" s="206" t="e">
        <f aca="false">N35+Control!$C$39</f>
        <v>#VALUE!</v>
      </c>
      <c r="P35" s="207" t="e">
        <f aca="false">VLOOKUP($A35,CurveFetch!$D$8:$E$367,2)</f>
        <v>#VALUE!</v>
      </c>
      <c r="Q35" s="208" t="e">
        <f aca="false">P35</f>
        <v>#VALUE!</v>
      </c>
      <c r="R35" s="209" t="e">
        <f aca="true">A35-1-TODAY()</f>
        <v>#VALUE!</v>
      </c>
      <c r="S35" s="210" t="e">
        <f aca="false">VLOOKUP($A35,Curve_Fetch,VLOOKUP(Control!$AJ$10,Control!$AI$11:$AM$22,5))</f>
        <v>#VALUE!</v>
      </c>
      <c r="T35" s="211" t="e">
        <f aca="false">EURO(N35,O35,P35,Q35,S35,R35,IF(Control!$C$38="Call",1,0),0)</f>
        <v>#NAME?</v>
      </c>
      <c r="U35" s="174" t="e">
        <f aca="false">T35*B35*E35</f>
        <v>#VALUE!</v>
      </c>
      <c r="V35" s="212"/>
      <c r="W35" s="213"/>
      <c r="X35" s="213"/>
      <c r="Y35" s="213"/>
      <c r="AA35" s="214"/>
      <c r="AB35" s="214"/>
      <c r="AC35" s="215"/>
      <c r="AD35" s="216"/>
      <c r="AE35" s="217"/>
      <c r="AF35" s="218"/>
      <c r="AG35" s="219"/>
      <c r="AH35" s="220"/>
      <c r="AI35" s="174"/>
      <c r="AJ35" s="171" t="e">
        <f aca="false">Y35-L35</f>
        <v>#VALUE!</v>
      </c>
      <c r="AL35" s="208" t="e">
        <f aca="false">VLOOKUP($C35,Curve_Fetch,2)+Cost_of_Funds</f>
        <v>#VALUE!</v>
      </c>
      <c r="AM35" s="210" t="e">
        <f aca="false">1/(1+AL35/2)^(2*(C35-Val_Date)/365.25)</f>
        <v>#VALUE!</v>
      </c>
      <c r="AO35" s="222" t="e">
        <f aca="false">$B35*$E35*$AM35</f>
        <v>#VALUE!</v>
      </c>
      <c r="AP35" s="222"/>
      <c r="AQ35" s="222" t="e">
        <f aca="false">H35*AO35</f>
        <v>#VALUE!</v>
      </c>
      <c r="AR35" s="222"/>
      <c r="AS35" s="174" t="e">
        <f aca="false">J35*$AO35</f>
        <v>#VALUE!</v>
      </c>
      <c r="AT35" s="174" t="e">
        <f aca="false">K35*$AO35</f>
        <v>#VALUE!</v>
      </c>
      <c r="AU35" s="174" t="e">
        <f aca="false">L35*$AO35</f>
        <v>#VALUE!</v>
      </c>
      <c r="AV35" s="174"/>
      <c r="AW35" s="174"/>
      <c r="AY35" s="220"/>
      <c r="AZ35" s="220"/>
      <c r="BA35" s="223"/>
      <c r="BC35" s="220"/>
      <c r="BE35" s="206"/>
    </row>
    <row r="36" customFormat="false" ht="12.75" hidden="false" customHeight="false" outlineLevel="0" collapsed="false">
      <c r="A36" s="167" t="e">
        <f aca="false">([1]!edate,A35,1)</f>
        <v>#VALUE!</v>
      </c>
      <c r="B36" s="201" t="e">
        <f aca="false">A37-A36</f>
        <v>#VALUE!</v>
      </c>
      <c r="C36" s="202" t="e">
        <f aca="false">IF(Control!$F$18="Physical",Model!A37+24,Model!A37)</f>
        <v>#VALUE!</v>
      </c>
      <c r="E36" s="203" t="e">
        <f aca="false">IF($A36&lt;End_Date,IF(Control!$C$20="Flat",Control!$C$21,VLOOKUP(Model!$A36,Euro!$B$29:$D$182,3)),0)</f>
        <v>#VALUE!</v>
      </c>
      <c r="F36" s="203" t="e">
        <f aca="false">E36*B36</f>
        <v>#VALUE!</v>
      </c>
      <c r="H36" s="204" t="e">
        <f aca="false">IF(Control!$C$27="Mid",VLOOKUP($A36,CurveFetch!$D$8:$F$367,3),VLOOKUP($A36,Euro!$B$29:$I$182,8))</f>
        <v>#VALUE!</v>
      </c>
      <c r="I36" s="204"/>
      <c r="J36" s="204" t="e">
        <f aca="false">IF($J$4="Mid",VLOOKUP($A36,Curve_Fetch,VLOOKUP(Control!$AJ$10,Control!$AI$11:$AK$22,3)),VLOOKUP($A36,Euro!$B$29:$M$182,12))</f>
        <v>#VALUE!</v>
      </c>
      <c r="K36" s="205" t="e">
        <f aca="false">IF(Control!$F$18="Physical",IF($K$4="Mid",VLOOKUP($A36,Curve_Fetch,VLOOKUP(Control!$AJ$10,Control!$AI$11:$AL$22,4)),VLOOKUP($A36,Euro!$B$29:$Q$182,16)),0)</f>
        <v>#VALUE!</v>
      </c>
      <c r="L36" s="204" t="e">
        <f aca="false">SUM(J36:K36)</f>
        <v>#VALUE!</v>
      </c>
      <c r="M36" s="204"/>
      <c r="N36" s="206" t="e">
        <f aca="false">L36+H36</f>
        <v>#VALUE!</v>
      </c>
      <c r="O36" s="206" t="e">
        <f aca="false">N36+Control!$C$39</f>
        <v>#VALUE!</v>
      </c>
      <c r="P36" s="207" t="e">
        <f aca="false">VLOOKUP($A36,CurveFetch!$D$8:$E$367,2)</f>
        <v>#VALUE!</v>
      </c>
      <c r="Q36" s="208" t="e">
        <f aca="false">P36</f>
        <v>#VALUE!</v>
      </c>
      <c r="R36" s="209" t="e">
        <f aca="true">A36-1-TODAY()</f>
        <v>#VALUE!</v>
      </c>
      <c r="S36" s="210" t="e">
        <f aca="false">VLOOKUP($A36,Curve_Fetch,VLOOKUP(Control!$AJ$10,Control!$AI$11:$AM$22,5))</f>
        <v>#VALUE!</v>
      </c>
      <c r="T36" s="211" t="e">
        <f aca="false">EURO(N36,O36,P36,Q36,S36,R36,IF(Control!$C$38="Call",1,0),0)</f>
        <v>#NAME?</v>
      </c>
      <c r="U36" s="174" t="e">
        <f aca="false">T36*B36*E36</f>
        <v>#VALUE!</v>
      </c>
      <c r="V36" s="212"/>
      <c r="W36" s="213"/>
      <c r="X36" s="213"/>
      <c r="Y36" s="213"/>
      <c r="AA36" s="214"/>
      <c r="AB36" s="214"/>
      <c r="AC36" s="215"/>
      <c r="AD36" s="216"/>
      <c r="AE36" s="217"/>
      <c r="AF36" s="218"/>
      <c r="AG36" s="219"/>
      <c r="AH36" s="220"/>
      <c r="AI36" s="174"/>
      <c r="AJ36" s="171" t="e">
        <f aca="false">Y36-L36</f>
        <v>#VALUE!</v>
      </c>
      <c r="AL36" s="208" t="e">
        <f aca="false">VLOOKUP($C36,Curve_Fetch,2)+Cost_of_Funds</f>
        <v>#VALUE!</v>
      </c>
      <c r="AM36" s="210" t="e">
        <f aca="false">1/(1+AL36/2)^(2*(C36-Val_Date)/365.25)</f>
        <v>#VALUE!</v>
      </c>
      <c r="AO36" s="222" t="e">
        <f aca="false">$B36*$E36*$AM36</f>
        <v>#VALUE!</v>
      </c>
      <c r="AP36" s="222"/>
      <c r="AQ36" s="222" t="e">
        <f aca="false">H36*AO36</f>
        <v>#VALUE!</v>
      </c>
      <c r="AR36" s="222"/>
      <c r="AS36" s="174" t="e">
        <f aca="false">J36*$AO36</f>
        <v>#VALUE!</v>
      </c>
      <c r="AT36" s="174" t="e">
        <f aca="false">K36*$AO36</f>
        <v>#VALUE!</v>
      </c>
      <c r="AU36" s="174" t="e">
        <f aca="false">L36*$AO36</f>
        <v>#VALUE!</v>
      </c>
      <c r="AV36" s="174"/>
      <c r="AW36" s="174"/>
      <c r="AY36" s="220"/>
      <c r="AZ36" s="220"/>
      <c r="BA36" s="223"/>
      <c r="BC36" s="220"/>
      <c r="BE36" s="206"/>
    </row>
    <row r="37" customFormat="false" ht="12.75" hidden="false" customHeight="false" outlineLevel="0" collapsed="false">
      <c r="A37" s="167" t="e">
        <f aca="false">([1]!edate,A36,1)</f>
        <v>#VALUE!</v>
      </c>
      <c r="B37" s="201" t="e">
        <f aca="false">A38-A37</f>
        <v>#VALUE!</v>
      </c>
      <c r="C37" s="202" t="e">
        <f aca="false">IF(Control!$F$18="Physical",Model!A38+24,Model!A38)</f>
        <v>#VALUE!</v>
      </c>
      <c r="E37" s="203" t="e">
        <f aca="false">IF($A37&lt;End_Date,IF(Control!$C$20="Flat",Control!$C$21,VLOOKUP(Model!$A37,Euro!$B$29:$D$182,3)),0)</f>
        <v>#VALUE!</v>
      </c>
      <c r="F37" s="203" t="e">
        <f aca="false">E37*B37</f>
        <v>#VALUE!</v>
      </c>
      <c r="H37" s="204" t="e">
        <f aca="false">IF(Control!$C$27="Mid",VLOOKUP($A37,CurveFetch!$D$8:$F$367,3),VLOOKUP($A37,Euro!$B$29:$I$182,8))</f>
        <v>#VALUE!</v>
      </c>
      <c r="I37" s="204"/>
      <c r="J37" s="204" t="e">
        <f aca="false">IF($J$4="Mid",VLOOKUP($A37,Curve_Fetch,VLOOKUP(Control!$AJ$10,Control!$AI$11:$AK$22,3)),VLOOKUP($A37,Euro!$B$29:$M$182,12))</f>
        <v>#VALUE!</v>
      </c>
      <c r="K37" s="205" t="e">
        <f aca="false">IF(Control!$F$18="Physical",IF($K$4="Mid",VLOOKUP($A37,Curve_Fetch,VLOOKUP(Control!$AJ$10,Control!$AI$11:$AL$22,4)),VLOOKUP($A37,Euro!$B$29:$Q$182,16)),0)</f>
        <v>#VALUE!</v>
      </c>
      <c r="L37" s="204" t="e">
        <f aca="false">SUM(J37:K37)</f>
        <v>#VALUE!</v>
      </c>
      <c r="M37" s="204"/>
      <c r="N37" s="206" t="e">
        <f aca="false">L37+H37</f>
        <v>#VALUE!</v>
      </c>
      <c r="O37" s="206" t="e">
        <f aca="false">N37+Control!$C$39</f>
        <v>#VALUE!</v>
      </c>
      <c r="P37" s="207" t="e">
        <f aca="false">VLOOKUP($A37,CurveFetch!$D$8:$E$367,2)</f>
        <v>#VALUE!</v>
      </c>
      <c r="Q37" s="208" t="e">
        <f aca="false">P37</f>
        <v>#VALUE!</v>
      </c>
      <c r="R37" s="209" t="e">
        <f aca="true">A37-1-TODAY()</f>
        <v>#VALUE!</v>
      </c>
      <c r="S37" s="210" t="e">
        <f aca="false">VLOOKUP($A37,Curve_Fetch,VLOOKUP(Control!$AJ$10,Control!$AI$11:$AM$22,5))</f>
        <v>#VALUE!</v>
      </c>
      <c r="T37" s="211" t="e">
        <f aca="false">EURO(N37,O37,P37,Q37,S37,R37,IF(Control!$C$38="Call",1,0),0)</f>
        <v>#NAME?</v>
      </c>
      <c r="U37" s="174" t="e">
        <f aca="false">T37*B37*E37</f>
        <v>#VALUE!</v>
      </c>
      <c r="V37" s="212"/>
      <c r="W37" s="213"/>
      <c r="X37" s="213"/>
      <c r="Y37" s="213"/>
      <c r="AA37" s="214"/>
      <c r="AB37" s="214"/>
      <c r="AC37" s="215"/>
      <c r="AD37" s="216"/>
      <c r="AE37" s="217"/>
      <c r="AF37" s="218"/>
      <c r="AG37" s="219"/>
      <c r="AH37" s="220"/>
      <c r="AI37" s="174"/>
      <c r="AJ37" s="171" t="e">
        <f aca="false">Y37-L37</f>
        <v>#VALUE!</v>
      </c>
      <c r="AL37" s="208" t="e">
        <f aca="false">VLOOKUP($C37,Curve_Fetch,2)+Cost_of_Funds</f>
        <v>#VALUE!</v>
      </c>
      <c r="AM37" s="210" t="e">
        <f aca="false">1/(1+AL37/2)^(2*(C37-Val_Date)/365.25)</f>
        <v>#VALUE!</v>
      </c>
      <c r="AO37" s="222" t="e">
        <f aca="false">$B37*$E37*$AM37</f>
        <v>#VALUE!</v>
      </c>
      <c r="AP37" s="222"/>
      <c r="AQ37" s="222" t="e">
        <f aca="false">H37*AO37</f>
        <v>#VALUE!</v>
      </c>
      <c r="AR37" s="222"/>
      <c r="AS37" s="174" t="e">
        <f aca="false">J37*$AO37</f>
        <v>#VALUE!</v>
      </c>
      <c r="AT37" s="174" t="e">
        <f aca="false">K37*$AO37</f>
        <v>#VALUE!</v>
      </c>
      <c r="AU37" s="174" t="e">
        <f aca="false">L37*$AO37</f>
        <v>#VALUE!</v>
      </c>
      <c r="AV37" s="174"/>
      <c r="AW37" s="174"/>
      <c r="AY37" s="220"/>
      <c r="AZ37" s="220"/>
      <c r="BA37" s="223"/>
      <c r="BC37" s="220"/>
      <c r="BE37" s="206"/>
    </row>
    <row r="38" customFormat="false" ht="12.75" hidden="false" customHeight="false" outlineLevel="0" collapsed="false">
      <c r="A38" s="167" t="e">
        <f aca="false">([1]!edate,A37,1)</f>
        <v>#VALUE!</v>
      </c>
      <c r="B38" s="201" t="e">
        <f aca="false">A39-A38</f>
        <v>#VALUE!</v>
      </c>
      <c r="C38" s="202" t="e">
        <f aca="false">IF(Control!$F$18="Physical",Model!A39+24,Model!A39)</f>
        <v>#VALUE!</v>
      </c>
      <c r="E38" s="203" t="e">
        <f aca="false">IF($A38&lt;End_Date,IF(Control!$C$20="Flat",Control!$C$21,VLOOKUP(Model!$A38,Euro!$B$29:$D$182,3)),0)</f>
        <v>#VALUE!</v>
      </c>
      <c r="F38" s="203" t="e">
        <f aca="false">E38*B38</f>
        <v>#VALUE!</v>
      </c>
      <c r="H38" s="204" t="e">
        <f aca="false">IF(Control!$C$27="Mid",VLOOKUP($A38,CurveFetch!$D$8:$F$367,3),VLOOKUP($A38,Euro!$B$29:$I$182,8))</f>
        <v>#VALUE!</v>
      </c>
      <c r="I38" s="204"/>
      <c r="J38" s="204" t="e">
        <f aca="false">IF($J$4="Mid",VLOOKUP($A38,Curve_Fetch,VLOOKUP(Control!$AJ$10,Control!$AI$11:$AK$22,3)),VLOOKUP($A38,Euro!$B$29:$M$182,12))</f>
        <v>#VALUE!</v>
      </c>
      <c r="K38" s="205" t="e">
        <f aca="false">IF(Control!$F$18="Physical",IF($K$4="Mid",VLOOKUP($A38,Curve_Fetch,VLOOKUP(Control!$AJ$10,Control!$AI$11:$AL$22,4)),VLOOKUP($A38,Euro!$B$29:$Q$182,16)),0)</f>
        <v>#VALUE!</v>
      </c>
      <c r="L38" s="204" t="e">
        <f aca="false">SUM(J38:K38)</f>
        <v>#VALUE!</v>
      </c>
      <c r="M38" s="204"/>
      <c r="N38" s="206" t="e">
        <f aca="false">L38+H38</f>
        <v>#VALUE!</v>
      </c>
      <c r="O38" s="206" t="e">
        <f aca="false">N38+Control!$C$39</f>
        <v>#VALUE!</v>
      </c>
      <c r="P38" s="207" t="e">
        <f aca="false">VLOOKUP($A38,CurveFetch!$D$8:$E$367,2)</f>
        <v>#VALUE!</v>
      </c>
      <c r="Q38" s="208" t="e">
        <f aca="false">P38</f>
        <v>#VALUE!</v>
      </c>
      <c r="R38" s="209" t="e">
        <f aca="true">A38-1-TODAY()</f>
        <v>#VALUE!</v>
      </c>
      <c r="S38" s="210" t="e">
        <f aca="false">VLOOKUP($A38,Curve_Fetch,VLOOKUP(Control!$AJ$10,Control!$AI$11:$AM$22,5))</f>
        <v>#VALUE!</v>
      </c>
      <c r="T38" s="211" t="e">
        <f aca="false">EURO(N38,O38,P38,Q38,S38,R38,IF(Control!$C$38="Call",1,0),0)</f>
        <v>#NAME?</v>
      </c>
      <c r="U38" s="174" t="e">
        <f aca="false">T38*B38*E38</f>
        <v>#VALUE!</v>
      </c>
      <c r="V38" s="212"/>
      <c r="W38" s="213"/>
      <c r="X38" s="213"/>
      <c r="Y38" s="213"/>
      <c r="AA38" s="214"/>
      <c r="AB38" s="214"/>
      <c r="AC38" s="215"/>
      <c r="AD38" s="216"/>
      <c r="AE38" s="217"/>
      <c r="AF38" s="218"/>
      <c r="AG38" s="219"/>
      <c r="AH38" s="220"/>
      <c r="AI38" s="174"/>
      <c r="AJ38" s="171" t="e">
        <f aca="false">Y38-L38</f>
        <v>#VALUE!</v>
      </c>
      <c r="AL38" s="208" t="e">
        <f aca="false">VLOOKUP($C38,Curve_Fetch,2)+Cost_of_Funds</f>
        <v>#VALUE!</v>
      </c>
      <c r="AM38" s="210" t="e">
        <f aca="false">1/(1+AL38/2)^(2*(C38-Val_Date)/365.25)</f>
        <v>#VALUE!</v>
      </c>
      <c r="AO38" s="222" t="e">
        <f aca="false">$B38*$E38*$AM38</f>
        <v>#VALUE!</v>
      </c>
      <c r="AP38" s="222"/>
      <c r="AQ38" s="222" t="e">
        <f aca="false">H38*AO38</f>
        <v>#VALUE!</v>
      </c>
      <c r="AR38" s="222"/>
      <c r="AS38" s="174" t="e">
        <f aca="false">J38*$AO38</f>
        <v>#VALUE!</v>
      </c>
      <c r="AT38" s="174" t="e">
        <f aca="false">K38*$AO38</f>
        <v>#VALUE!</v>
      </c>
      <c r="AU38" s="174" t="e">
        <f aca="false">L38*$AO38</f>
        <v>#VALUE!</v>
      </c>
      <c r="AV38" s="174"/>
      <c r="AW38" s="174"/>
      <c r="AY38" s="220"/>
      <c r="AZ38" s="220"/>
      <c r="BA38" s="223"/>
      <c r="BC38" s="220"/>
      <c r="BE38" s="206"/>
    </row>
    <row r="39" customFormat="false" ht="12.75" hidden="false" customHeight="false" outlineLevel="0" collapsed="false">
      <c r="A39" s="167" t="e">
        <f aca="false">([1]!edate,A38,1)</f>
        <v>#VALUE!</v>
      </c>
      <c r="B39" s="201" t="e">
        <f aca="false">A40-A39</f>
        <v>#VALUE!</v>
      </c>
      <c r="C39" s="202" t="e">
        <f aca="false">IF(Control!$F$18="Physical",Model!A40+24,Model!A40)</f>
        <v>#VALUE!</v>
      </c>
      <c r="E39" s="203" t="e">
        <f aca="false">IF($A39&lt;End_Date,IF(Control!$C$20="Flat",Control!$C$21,VLOOKUP(Model!$A39,Euro!$B$29:$D$182,3)),0)</f>
        <v>#VALUE!</v>
      </c>
      <c r="F39" s="203" t="e">
        <f aca="false">E39*B39</f>
        <v>#VALUE!</v>
      </c>
      <c r="H39" s="204" t="e">
        <f aca="false">IF(Control!$C$27="Mid",VLOOKUP($A39,CurveFetch!$D$8:$F$367,3),VLOOKUP($A39,Euro!$B$29:$I$182,8))</f>
        <v>#VALUE!</v>
      </c>
      <c r="I39" s="204"/>
      <c r="J39" s="204" t="e">
        <f aca="false">IF($J$4="Mid",VLOOKUP($A39,Curve_Fetch,VLOOKUP(Control!$AJ$10,Control!$AI$11:$AK$22,3)),VLOOKUP($A39,Euro!$B$29:$M$182,12))</f>
        <v>#VALUE!</v>
      </c>
      <c r="K39" s="205" t="e">
        <f aca="false">IF(Control!$F$18="Physical",IF($K$4="Mid",VLOOKUP($A39,Curve_Fetch,VLOOKUP(Control!$AJ$10,Control!$AI$11:$AL$22,4)),VLOOKUP($A39,Euro!$B$29:$Q$182,16)),0)</f>
        <v>#VALUE!</v>
      </c>
      <c r="L39" s="204" t="e">
        <f aca="false">SUM(J39:K39)</f>
        <v>#VALUE!</v>
      </c>
      <c r="M39" s="204"/>
      <c r="N39" s="206" t="e">
        <f aca="false">L39+H39</f>
        <v>#VALUE!</v>
      </c>
      <c r="O39" s="206" t="e">
        <f aca="false">N39+Control!$C$39</f>
        <v>#VALUE!</v>
      </c>
      <c r="P39" s="207" t="e">
        <f aca="false">VLOOKUP($A39,CurveFetch!$D$8:$E$367,2)</f>
        <v>#VALUE!</v>
      </c>
      <c r="Q39" s="208" t="e">
        <f aca="false">P39</f>
        <v>#VALUE!</v>
      </c>
      <c r="R39" s="209" t="e">
        <f aca="true">A39-1-TODAY()</f>
        <v>#VALUE!</v>
      </c>
      <c r="S39" s="210" t="e">
        <f aca="false">VLOOKUP($A39,Curve_Fetch,VLOOKUP(Control!$AJ$10,Control!$AI$11:$AM$22,5))</f>
        <v>#VALUE!</v>
      </c>
      <c r="T39" s="211" t="e">
        <f aca="false">EURO(N39,O39,P39,Q39,S39,R39,IF(Control!$C$38="Call",1,0),0)</f>
        <v>#NAME?</v>
      </c>
      <c r="U39" s="174" t="e">
        <f aca="false">T39*B39*E39</f>
        <v>#VALUE!</v>
      </c>
      <c r="V39" s="212"/>
      <c r="W39" s="213"/>
      <c r="X39" s="213"/>
      <c r="Y39" s="213"/>
      <c r="AA39" s="214"/>
      <c r="AB39" s="214"/>
      <c r="AC39" s="215"/>
      <c r="AD39" s="216"/>
      <c r="AE39" s="217"/>
      <c r="AF39" s="218"/>
      <c r="AG39" s="219"/>
      <c r="AH39" s="220"/>
      <c r="AI39" s="174"/>
      <c r="AJ39" s="171" t="e">
        <f aca="false">Y39-L39</f>
        <v>#VALUE!</v>
      </c>
      <c r="AL39" s="208" t="e">
        <f aca="false">VLOOKUP($C39,Curve_Fetch,2)+Cost_of_Funds</f>
        <v>#VALUE!</v>
      </c>
      <c r="AM39" s="210" t="e">
        <f aca="false">1/(1+AL39/2)^(2*(C39-Val_Date)/365.25)</f>
        <v>#VALUE!</v>
      </c>
      <c r="AO39" s="222" t="e">
        <f aca="false">$B39*$E39*$AM39</f>
        <v>#VALUE!</v>
      </c>
      <c r="AP39" s="222"/>
      <c r="AQ39" s="222" t="e">
        <f aca="false">H39*AO39</f>
        <v>#VALUE!</v>
      </c>
      <c r="AR39" s="222"/>
      <c r="AS39" s="174" t="e">
        <f aca="false">J39*$AO39</f>
        <v>#VALUE!</v>
      </c>
      <c r="AT39" s="174" t="e">
        <f aca="false">K39*$AO39</f>
        <v>#VALUE!</v>
      </c>
      <c r="AU39" s="174" t="e">
        <f aca="false">L39*$AO39</f>
        <v>#VALUE!</v>
      </c>
      <c r="AV39" s="174"/>
      <c r="AW39" s="174"/>
      <c r="AY39" s="220"/>
      <c r="AZ39" s="220"/>
      <c r="BA39" s="223"/>
      <c r="BC39" s="220"/>
      <c r="BE39" s="206"/>
    </row>
    <row r="40" customFormat="false" ht="12.75" hidden="false" customHeight="false" outlineLevel="0" collapsed="false">
      <c r="A40" s="167" t="e">
        <f aca="false">([1]!edate,A39,1)</f>
        <v>#VALUE!</v>
      </c>
      <c r="B40" s="201" t="e">
        <f aca="false">A41-A40</f>
        <v>#VALUE!</v>
      </c>
      <c r="C40" s="202" t="e">
        <f aca="false">IF(Control!$F$18="Physical",Model!A41+24,Model!A41)</f>
        <v>#VALUE!</v>
      </c>
      <c r="E40" s="203" t="e">
        <f aca="false">IF($A40&lt;End_Date,IF(Control!$C$20="Flat",Control!$C$21,VLOOKUP(Model!$A40,Euro!$B$29:$D$182,3)),0)</f>
        <v>#VALUE!</v>
      </c>
      <c r="F40" s="203" t="e">
        <f aca="false">E40*B40</f>
        <v>#VALUE!</v>
      </c>
      <c r="H40" s="204" t="e">
        <f aca="false">IF(Control!$C$27="Mid",VLOOKUP($A40,CurveFetch!$D$8:$F$367,3),VLOOKUP($A40,Euro!$B$29:$I$182,8))</f>
        <v>#VALUE!</v>
      </c>
      <c r="I40" s="204"/>
      <c r="J40" s="204" t="e">
        <f aca="false">IF($J$4="Mid",VLOOKUP($A40,Curve_Fetch,VLOOKUP(Control!$AJ$10,Control!$AI$11:$AK$22,3)),VLOOKUP($A40,Euro!$B$29:$M$182,12))</f>
        <v>#VALUE!</v>
      </c>
      <c r="K40" s="205" t="e">
        <f aca="false">IF(Control!$F$18="Physical",IF($K$4="Mid",VLOOKUP($A40,Curve_Fetch,VLOOKUP(Control!$AJ$10,Control!$AI$11:$AL$22,4)),VLOOKUP($A40,Euro!$B$29:$Q$182,16)),0)</f>
        <v>#VALUE!</v>
      </c>
      <c r="L40" s="204" t="e">
        <f aca="false">SUM(J40:K40)</f>
        <v>#VALUE!</v>
      </c>
      <c r="M40" s="204"/>
      <c r="N40" s="206" t="e">
        <f aca="false">L40+H40</f>
        <v>#VALUE!</v>
      </c>
      <c r="O40" s="206" t="e">
        <f aca="false">N40+Control!$C$39</f>
        <v>#VALUE!</v>
      </c>
      <c r="P40" s="207" t="e">
        <f aca="false">VLOOKUP($A40,CurveFetch!$D$8:$E$367,2)</f>
        <v>#VALUE!</v>
      </c>
      <c r="Q40" s="208" t="e">
        <f aca="false">P40</f>
        <v>#VALUE!</v>
      </c>
      <c r="R40" s="209" t="e">
        <f aca="true">A40-1-TODAY()</f>
        <v>#VALUE!</v>
      </c>
      <c r="S40" s="210" t="e">
        <f aca="false">VLOOKUP($A40,Curve_Fetch,VLOOKUP(Control!$AJ$10,Control!$AI$11:$AM$22,5))</f>
        <v>#VALUE!</v>
      </c>
      <c r="T40" s="211" t="e">
        <f aca="false">EURO(N40,O40,P40,Q40,S40,R40,IF(Control!$C$38="Call",1,0),0)</f>
        <v>#NAME?</v>
      </c>
      <c r="U40" s="174" t="e">
        <f aca="false">T40*B40*E40</f>
        <v>#VALUE!</v>
      </c>
      <c r="V40" s="212"/>
      <c r="W40" s="213"/>
      <c r="X40" s="213"/>
      <c r="Y40" s="213"/>
      <c r="AA40" s="214"/>
      <c r="AB40" s="214"/>
      <c r="AC40" s="215"/>
      <c r="AD40" s="216"/>
      <c r="AE40" s="217"/>
      <c r="AF40" s="218"/>
      <c r="AG40" s="219"/>
      <c r="AH40" s="220"/>
      <c r="AI40" s="174"/>
      <c r="AJ40" s="171" t="e">
        <f aca="false">Y40-L40</f>
        <v>#VALUE!</v>
      </c>
      <c r="AL40" s="208" t="e">
        <f aca="false">VLOOKUP($C40,Curve_Fetch,2)+Cost_of_Funds</f>
        <v>#VALUE!</v>
      </c>
      <c r="AM40" s="210" t="e">
        <f aca="false">1/(1+AL40/2)^(2*(C40-Val_Date)/365.25)</f>
        <v>#VALUE!</v>
      </c>
      <c r="AO40" s="222" t="e">
        <f aca="false">$B40*$E40*$AM40</f>
        <v>#VALUE!</v>
      </c>
      <c r="AP40" s="222"/>
      <c r="AQ40" s="222" t="e">
        <f aca="false">H40*AO40</f>
        <v>#VALUE!</v>
      </c>
      <c r="AR40" s="222"/>
      <c r="AS40" s="174" t="e">
        <f aca="false">J40*$AO40</f>
        <v>#VALUE!</v>
      </c>
      <c r="AT40" s="174" t="e">
        <f aca="false">K40*$AO40</f>
        <v>#VALUE!</v>
      </c>
      <c r="AU40" s="174" t="e">
        <f aca="false">L40*$AO40</f>
        <v>#VALUE!</v>
      </c>
      <c r="AV40" s="174"/>
      <c r="AW40" s="174"/>
      <c r="AY40" s="220"/>
      <c r="AZ40" s="220"/>
      <c r="BA40" s="223"/>
      <c r="BC40" s="220"/>
      <c r="BE40" s="206"/>
    </row>
    <row r="41" customFormat="false" ht="12.75" hidden="false" customHeight="false" outlineLevel="0" collapsed="false">
      <c r="A41" s="167" t="e">
        <f aca="false">([1]!edate,A40,1)</f>
        <v>#VALUE!</v>
      </c>
      <c r="B41" s="201" t="e">
        <f aca="false">A42-A41</f>
        <v>#VALUE!</v>
      </c>
      <c r="C41" s="202" t="e">
        <f aca="false">IF(Control!$F$18="Physical",Model!A42+24,Model!A42)</f>
        <v>#VALUE!</v>
      </c>
      <c r="E41" s="203" t="e">
        <f aca="false">IF($A41&lt;End_Date,IF(Control!$C$20="Flat",Control!$C$21,VLOOKUP(Model!$A41,Euro!$B$29:$D$182,3)),0)</f>
        <v>#VALUE!</v>
      </c>
      <c r="F41" s="203" t="e">
        <f aca="false">E41*B41</f>
        <v>#VALUE!</v>
      </c>
      <c r="H41" s="204" t="e">
        <f aca="false">IF(Control!$C$27="Mid",VLOOKUP($A41,CurveFetch!$D$8:$F$367,3),VLOOKUP($A41,Euro!$B$29:$I$182,8))</f>
        <v>#VALUE!</v>
      </c>
      <c r="I41" s="204"/>
      <c r="J41" s="204" t="e">
        <f aca="false">IF($J$4="Mid",VLOOKUP($A41,Curve_Fetch,VLOOKUP(Control!$AJ$10,Control!$AI$11:$AK$22,3)),VLOOKUP($A41,Euro!$B$29:$M$182,12))</f>
        <v>#VALUE!</v>
      </c>
      <c r="K41" s="205" t="e">
        <f aca="false">IF(Control!$F$18="Physical",IF($K$4="Mid",VLOOKUP($A41,Curve_Fetch,VLOOKUP(Control!$AJ$10,Control!$AI$11:$AL$22,4)),VLOOKUP($A41,Euro!$B$29:$Q$182,16)),0)</f>
        <v>#VALUE!</v>
      </c>
      <c r="L41" s="204" t="e">
        <f aca="false">SUM(J41:K41)</f>
        <v>#VALUE!</v>
      </c>
      <c r="M41" s="204"/>
      <c r="N41" s="206" t="e">
        <f aca="false">L41+H41</f>
        <v>#VALUE!</v>
      </c>
      <c r="O41" s="206" t="e">
        <f aca="false">N41+Control!$C$39</f>
        <v>#VALUE!</v>
      </c>
      <c r="P41" s="207" t="e">
        <f aca="false">VLOOKUP($A41,CurveFetch!$D$8:$E$367,2)</f>
        <v>#VALUE!</v>
      </c>
      <c r="Q41" s="208" t="e">
        <f aca="false">P41</f>
        <v>#VALUE!</v>
      </c>
      <c r="R41" s="209" t="e">
        <f aca="true">A41-1-TODAY()</f>
        <v>#VALUE!</v>
      </c>
      <c r="S41" s="210" t="e">
        <f aca="false">VLOOKUP($A41,Curve_Fetch,VLOOKUP(Control!$AJ$10,Control!$AI$11:$AM$22,5))</f>
        <v>#VALUE!</v>
      </c>
      <c r="T41" s="211" t="e">
        <f aca="false">EURO(N41,O41,P41,Q41,S41,R41,IF(Control!$C$38="Call",1,0),0)</f>
        <v>#NAME?</v>
      </c>
      <c r="U41" s="174" t="e">
        <f aca="false">T41*B41*E41</f>
        <v>#VALUE!</v>
      </c>
      <c r="V41" s="212"/>
      <c r="W41" s="213"/>
      <c r="X41" s="213"/>
      <c r="Y41" s="213"/>
      <c r="AA41" s="214"/>
      <c r="AB41" s="214"/>
      <c r="AC41" s="215"/>
      <c r="AD41" s="216"/>
      <c r="AE41" s="217"/>
      <c r="AF41" s="218"/>
      <c r="AG41" s="219"/>
      <c r="AH41" s="220"/>
      <c r="AI41" s="174"/>
      <c r="AJ41" s="171" t="e">
        <f aca="false">Y41-L41</f>
        <v>#VALUE!</v>
      </c>
      <c r="AL41" s="208" t="e">
        <f aca="false">VLOOKUP($C41,Curve_Fetch,2)+Cost_of_Funds</f>
        <v>#VALUE!</v>
      </c>
      <c r="AM41" s="210" t="e">
        <f aca="false">1/(1+AL41/2)^(2*(C41-Val_Date)/365.25)</f>
        <v>#VALUE!</v>
      </c>
      <c r="AO41" s="222" t="e">
        <f aca="false">$B41*$E41*$AM41</f>
        <v>#VALUE!</v>
      </c>
      <c r="AP41" s="222"/>
      <c r="AQ41" s="222" t="e">
        <f aca="false">H41*AO41</f>
        <v>#VALUE!</v>
      </c>
      <c r="AR41" s="222"/>
      <c r="AS41" s="174" t="e">
        <f aca="false">J41*$AO41</f>
        <v>#VALUE!</v>
      </c>
      <c r="AT41" s="174" t="e">
        <f aca="false">K41*$AO41</f>
        <v>#VALUE!</v>
      </c>
      <c r="AU41" s="174" t="e">
        <f aca="false">L41*$AO41</f>
        <v>#VALUE!</v>
      </c>
      <c r="AV41" s="174"/>
      <c r="AW41" s="174"/>
      <c r="AY41" s="220"/>
      <c r="AZ41" s="220"/>
      <c r="BA41" s="223"/>
      <c r="BC41" s="220"/>
      <c r="BE41" s="206"/>
    </row>
    <row r="42" customFormat="false" ht="12.75" hidden="false" customHeight="false" outlineLevel="0" collapsed="false">
      <c r="A42" s="167" t="e">
        <f aca="false">([1]!edate,A41,1)</f>
        <v>#VALUE!</v>
      </c>
      <c r="B42" s="201" t="e">
        <f aca="false">A43-A42</f>
        <v>#VALUE!</v>
      </c>
      <c r="C42" s="202" t="e">
        <f aca="false">IF(Control!$F$18="Physical",Model!A43+24,Model!A43)</f>
        <v>#VALUE!</v>
      </c>
      <c r="E42" s="203" t="e">
        <f aca="false">IF($A42&lt;End_Date,IF(Control!$C$20="Flat",Control!$C$21,VLOOKUP(Model!$A42,Euro!$B$29:$D$182,3)),0)</f>
        <v>#VALUE!</v>
      </c>
      <c r="F42" s="203" t="e">
        <f aca="false">E42*B42</f>
        <v>#VALUE!</v>
      </c>
      <c r="H42" s="204" t="e">
        <f aca="false">IF(Control!$C$27="Mid",VLOOKUP($A42,CurveFetch!$D$8:$F$367,3),VLOOKUP($A42,Euro!$B$29:$I$182,8))</f>
        <v>#VALUE!</v>
      </c>
      <c r="I42" s="204"/>
      <c r="J42" s="204" t="e">
        <f aca="false">IF($J$4="Mid",VLOOKUP($A42,Curve_Fetch,VLOOKUP(Control!$AJ$10,Control!$AI$11:$AK$22,3)),VLOOKUP($A42,Euro!$B$29:$M$182,12))</f>
        <v>#VALUE!</v>
      </c>
      <c r="K42" s="205" t="e">
        <f aca="false">IF(Control!$F$18="Physical",IF($K$4="Mid",VLOOKUP($A42,Curve_Fetch,VLOOKUP(Control!$AJ$10,Control!$AI$11:$AL$22,4)),VLOOKUP($A42,Euro!$B$29:$Q$182,16)),0)</f>
        <v>#VALUE!</v>
      </c>
      <c r="L42" s="204" t="e">
        <f aca="false">SUM(J42:K42)</f>
        <v>#VALUE!</v>
      </c>
      <c r="M42" s="204"/>
      <c r="N42" s="206" t="e">
        <f aca="false">L42+H42</f>
        <v>#VALUE!</v>
      </c>
      <c r="O42" s="206" t="e">
        <f aca="false">N42+Control!$C$39</f>
        <v>#VALUE!</v>
      </c>
      <c r="P42" s="207" t="e">
        <f aca="false">VLOOKUP($A42,CurveFetch!$D$8:$E$367,2)</f>
        <v>#VALUE!</v>
      </c>
      <c r="Q42" s="208" t="e">
        <f aca="false">P42</f>
        <v>#VALUE!</v>
      </c>
      <c r="R42" s="209" t="e">
        <f aca="true">A42-1-TODAY()</f>
        <v>#VALUE!</v>
      </c>
      <c r="S42" s="210" t="e">
        <f aca="false">VLOOKUP($A42,Curve_Fetch,VLOOKUP(Control!$AJ$10,Control!$AI$11:$AM$22,5))</f>
        <v>#VALUE!</v>
      </c>
      <c r="T42" s="211" t="e">
        <f aca="false">EURO(N42,O42,P42,Q42,S42,R42,IF(Control!$C$38="Call",1,0),0)</f>
        <v>#NAME?</v>
      </c>
      <c r="U42" s="174" t="e">
        <f aca="false">T42*B42*E42</f>
        <v>#VALUE!</v>
      </c>
      <c r="V42" s="212"/>
      <c r="W42" s="213"/>
      <c r="X42" s="213"/>
      <c r="Y42" s="213"/>
      <c r="AA42" s="214"/>
      <c r="AB42" s="214"/>
      <c r="AC42" s="215"/>
      <c r="AD42" s="216"/>
      <c r="AE42" s="217"/>
      <c r="AF42" s="218"/>
      <c r="AG42" s="219"/>
      <c r="AH42" s="220"/>
      <c r="AI42" s="174"/>
      <c r="AJ42" s="171" t="e">
        <f aca="false">Y42-L42</f>
        <v>#VALUE!</v>
      </c>
      <c r="AL42" s="208" t="e">
        <f aca="false">VLOOKUP($C42,Curve_Fetch,2)+Cost_of_Funds</f>
        <v>#VALUE!</v>
      </c>
      <c r="AM42" s="210" t="e">
        <f aca="false">1/(1+AL42/2)^(2*(C42-Val_Date)/365.25)</f>
        <v>#VALUE!</v>
      </c>
      <c r="AO42" s="222" t="e">
        <f aca="false">$B42*$E42*$AM42</f>
        <v>#VALUE!</v>
      </c>
      <c r="AP42" s="222"/>
      <c r="AQ42" s="222" t="e">
        <f aca="false">H42*AO42</f>
        <v>#VALUE!</v>
      </c>
      <c r="AR42" s="222"/>
      <c r="AS42" s="174" t="e">
        <f aca="false">J42*$AO42</f>
        <v>#VALUE!</v>
      </c>
      <c r="AT42" s="174" t="e">
        <f aca="false">K42*$AO42</f>
        <v>#VALUE!</v>
      </c>
      <c r="AU42" s="174" t="e">
        <f aca="false">L42*$AO42</f>
        <v>#VALUE!</v>
      </c>
      <c r="AV42" s="174"/>
      <c r="AW42" s="174"/>
      <c r="AY42" s="220"/>
      <c r="AZ42" s="220"/>
      <c r="BA42" s="223"/>
      <c r="BC42" s="220"/>
      <c r="BE42" s="206"/>
    </row>
    <row r="43" customFormat="false" ht="12.75" hidden="false" customHeight="false" outlineLevel="0" collapsed="false">
      <c r="A43" s="167" t="e">
        <f aca="false">([1]!edate,A42,1)</f>
        <v>#VALUE!</v>
      </c>
      <c r="B43" s="201" t="e">
        <f aca="false">A44-A43</f>
        <v>#VALUE!</v>
      </c>
      <c r="C43" s="202" t="e">
        <f aca="false">IF(Control!$F$18="Physical",Model!A44+24,Model!A44)</f>
        <v>#VALUE!</v>
      </c>
      <c r="E43" s="203" t="e">
        <f aca="false">IF($A43&lt;End_Date,IF(Control!$C$20="Flat",Control!$C$21,VLOOKUP(Model!$A43,Euro!$B$29:$D$182,3)),0)</f>
        <v>#VALUE!</v>
      </c>
      <c r="F43" s="203" t="e">
        <f aca="false">E43*B43</f>
        <v>#VALUE!</v>
      </c>
      <c r="H43" s="204" t="e">
        <f aca="false">IF(Control!$C$27="Mid",VLOOKUP($A43,CurveFetch!$D$8:$F$367,3),VLOOKUP($A43,Euro!$B$29:$I$182,8))</f>
        <v>#VALUE!</v>
      </c>
      <c r="I43" s="204"/>
      <c r="J43" s="204" t="e">
        <f aca="false">IF($J$4="Mid",VLOOKUP($A43,Curve_Fetch,VLOOKUP(Control!$AJ$10,Control!$AI$11:$AK$22,3)),VLOOKUP($A43,Euro!$B$29:$M$182,12))</f>
        <v>#VALUE!</v>
      </c>
      <c r="K43" s="205" t="e">
        <f aca="false">IF(Control!$F$18="Physical",IF($K$4="Mid",VLOOKUP($A43,Curve_Fetch,VLOOKUP(Control!$AJ$10,Control!$AI$11:$AL$22,4)),VLOOKUP($A43,Euro!$B$29:$Q$182,16)),0)</f>
        <v>#VALUE!</v>
      </c>
      <c r="L43" s="204" t="e">
        <f aca="false">SUM(J43:K43)</f>
        <v>#VALUE!</v>
      </c>
      <c r="M43" s="204"/>
      <c r="N43" s="206" t="e">
        <f aca="false">L43+H43</f>
        <v>#VALUE!</v>
      </c>
      <c r="O43" s="206" t="e">
        <f aca="false">N43+Control!$C$39</f>
        <v>#VALUE!</v>
      </c>
      <c r="P43" s="207" t="e">
        <f aca="false">VLOOKUP($A43,CurveFetch!$D$8:$E$367,2)</f>
        <v>#VALUE!</v>
      </c>
      <c r="Q43" s="208" t="e">
        <f aca="false">P43</f>
        <v>#VALUE!</v>
      </c>
      <c r="R43" s="209" t="e">
        <f aca="true">A43-1-TODAY()</f>
        <v>#VALUE!</v>
      </c>
      <c r="S43" s="210" t="e">
        <f aca="false">VLOOKUP($A43,Curve_Fetch,VLOOKUP(Control!$AJ$10,Control!$AI$11:$AM$22,5))</f>
        <v>#VALUE!</v>
      </c>
      <c r="T43" s="211" t="e">
        <f aca="false">EURO(N43,O43,P43,Q43,S43,R43,IF(Control!$C$38="Call",1,0),0)</f>
        <v>#NAME?</v>
      </c>
      <c r="U43" s="174" t="e">
        <f aca="false">T43*B43*E43</f>
        <v>#VALUE!</v>
      </c>
      <c r="V43" s="212"/>
      <c r="W43" s="213"/>
      <c r="X43" s="213"/>
      <c r="Y43" s="213"/>
      <c r="AA43" s="214"/>
      <c r="AB43" s="214"/>
      <c r="AC43" s="215"/>
      <c r="AD43" s="216"/>
      <c r="AE43" s="217"/>
      <c r="AF43" s="218"/>
      <c r="AG43" s="219"/>
      <c r="AH43" s="220"/>
      <c r="AI43" s="174"/>
      <c r="AJ43" s="171" t="e">
        <f aca="false">Y43-L43</f>
        <v>#VALUE!</v>
      </c>
      <c r="AL43" s="208" t="e">
        <f aca="false">VLOOKUP($C43,Curve_Fetch,2)+Cost_of_Funds</f>
        <v>#VALUE!</v>
      </c>
      <c r="AM43" s="210" t="e">
        <f aca="false">1/(1+AL43/2)^(2*(C43-Val_Date)/365.25)</f>
        <v>#VALUE!</v>
      </c>
      <c r="AO43" s="222" t="e">
        <f aca="false">$B43*$E43*$AM43</f>
        <v>#VALUE!</v>
      </c>
      <c r="AP43" s="222"/>
      <c r="AQ43" s="222" t="e">
        <f aca="false">H43*AO43</f>
        <v>#VALUE!</v>
      </c>
      <c r="AR43" s="222"/>
      <c r="AS43" s="174" t="e">
        <f aca="false">J43*$AO43</f>
        <v>#VALUE!</v>
      </c>
      <c r="AT43" s="174" t="e">
        <f aca="false">K43*$AO43</f>
        <v>#VALUE!</v>
      </c>
      <c r="AU43" s="174" t="e">
        <f aca="false">L43*$AO43</f>
        <v>#VALUE!</v>
      </c>
      <c r="AV43" s="174"/>
      <c r="AW43" s="174"/>
      <c r="AY43" s="220"/>
      <c r="AZ43" s="220"/>
      <c r="BA43" s="223"/>
      <c r="BC43" s="220"/>
      <c r="BE43" s="206"/>
    </row>
    <row r="44" customFormat="false" ht="12.75" hidden="false" customHeight="false" outlineLevel="0" collapsed="false">
      <c r="A44" s="167" t="e">
        <f aca="false">([1]!edate,A43,1)</f>
        <v>#VALUE!</v>
      </c>
      <c r="B44" s="201" t="e">
        <f aca="false">A45-A44</f>
        <v>#VALUE!</v>
      </c>
      <c r="C44" s="202" t="e">
        <f aca="false">IF(Control!$F$18="Physical",Model!A45+24,Model!A45)</f>
        <v>#VALUE!</v>
      </c>
      <c r="E44" s="203" t="e">
        <f aca="false">IF($A44&lt;End_Date,IF(Control!$C$20="Flat",Control!$C$21,VLOOKUP(Model!$A44,Euro!$B$29:$D$182,3)),0)</f>
        <v>#VALUE!</v>
      </c>
      <c r="F44" s="203" t="e">
        <f aca="false">E44*B44</f>
        <v>#VALUE!</v>
      </c>
      <c r="H44" s="204" t="e">
        <f aca="false">IF(Control!$C$27="Mid",VLOOKUP($A44,CurveFetch!$D$8:$F$367,3),VLOOKUP($A44,Euro!$B$29:$I$182,8))</f>
        <v>#VALUE!</v>
      </c>
      <c r="I44" s="204"/>
      <c r="J44" s="204" t="e">
        <f aca="false">IF($J$4="Mid",VLOOKUP($A44,Curve_Fetch,VLOOKUP(Control!$AJ$10,Control!$AI$11:$AK$22,3)),VLOOKUP($A44,Euro!$B$29:$M$182,12))</f>
        <v>#VALUE!</v>
      </c>
      <c r="K44" s="205" t="e">
        <f aca="false">IF(Control!$F$18="Physical",IF($K$4="Mid",VLOOKUP($A44,Curve_Fetch,VLOOKUP(Control!$AJ$10,Control!$AI$11:$AL$22,4)),VLOOKUP($A44,Euro!$B$29:$Q$182,16)),0)</f>
        <v>#VALUE!</v>
      </c>
      <c r="L44" s="204" t="e">
        <f aca="false">SUM(J44:K44)</f>
        <v>#VALUE!</v>
      </c>
      <c r="M44" s="204"/>
      <c r="N44" s="206" t="e">
        <f aca="false">L44+H44</f>
        <v>#VALUE!</v>
      </c>
      <c r="O44" s="206" t="e">
        <f aca="false">N44+Control!$C$39</f>
        <v>#VALUE!</v>
      </c>
      <c r="P44" s="207" t="e">
        <f aca="false">VLOOKUP($A44,CurveFetch!$D$8:$E$367,2)</f>
        <v>#VALUE!</v>
      </c>
      <c r="Q44" s="208" t="e">
        <f aca="false">P44</f>
        <v>#VALUE!</v>
      </c>
      <c r="R44" s="209" t="e">
        <f aca="true">A44-1-TODAY()</f>
        <v>#VALUE!</v>
      </c>
      <c r="S44" s="210" t="e">
        <f aca="false">VLOOKUP($A44,Curve_Fetch,VLOOKUP(Control!$AJ$10,Control!$AI$11:$AM$22,5))</f>
        <v>#VALUE!</v>
      </c>
      <c r="T44" s="211" t="e">
        <f aca="false">EURO(N44,O44,P44,Q44,S44,R44,IF(Control!$C$38="Call",1,0),0)</f>
        <v>#NAME?</v>
      </c>
      <c r="U44" s="174" t="e">
        <f aca="false">T44*B44*E44</f>
        <v>#VALUE!</v>
      </c>
      <c r="V44" s="212"/>
      <c r="W44" s="213"/>
      <c r="X44" s="213"/>
      <c r="Y44" s="213"/>
      <c r="AA44" s="214"/>
      <c r="AB44" s="214"/>
      <c r="AC44" s="215"/>
      <c r="AD44" s="216"/>
      <c r="AE44" s="217"/>
      <c r="AF44" s="218"/>
      <c r="AG44" s="219"/>
      <c r="AH44" s="220"/>
      <c r="AI44" s="174"/>
      <c r="AJ44" s="171" t="e">
        <f aca="false">Y44-L44</f>
        <v>#VALUE!</v>
      </c>
      <c r="AL44" s="208" t="e">
        <f aca="false">VLOOKUP($C44,Curve_Fetch,2)+Cost_of_Funds</f>
        <v>#VALUE!</v>
      </c>
      <c r="AM44" s="210" t="e">
        <f aca="false">1/(1+AL44/2)^(2*(C44-Val_Date)/365.25)</f>
        <v>#VALUE!</v>
      </c>
      <c r="AO44" s="222" t="e">
        <f aca="false">$B44*$E44*$AM44</f>
        <v>#VALUE!</v>
      </c>
      <c r="AP44" s="222"/>
      <c r="AQ44" s="222" t="e">
        <f aca="false">H44*AO44</f>
        <v>#VALUE!</v>
      </c>
      <c r="AR44" s="222"/>
      <c r="AS44" s="174" t="e">
        <f aca="false">J44*$AO44</f>
        <v>#VALUE!</v>
      </c>
      <c r="AT44" s="174" t="e">
        <f aca="false">K44*$AO44</f>
        <v>#VALUE!</v>
      </c>
      <c r="AU44" s="174" t="e">
        <f aca="false">L44*$AO44</f>
        <v>#VALUE!</v>
      </c>
      <c r="AV44" s="174"/>
      <c r="AW44" s="174"/>
      <c r="AY44" s="220"/>
      <c r="AZ44" s="220"/>
      <c r="BA44" s="223"/>
      <c r="BC44" s="220"/>
      <c r="BE44" s="206"/>
    </row>
    <row r="45" customFormat="false" ht="12.75" hidden="false" customHeight="false" outlineLevel="0" collapsed="false">
      <c r="A45" s="167" t="e">
        <f aca="false">([1]!edate,A44,1)</f>
        <v>#VALUE!</v>
      </c>
      <c r="B45" s="201" t="e">
        <f aca="false">A46-A45</f>
        <v>#VALUE!</v>
      </c>
      <c r="C45" s="202" t="e">
        <f aca="false">IF(Control!$F$18="Physical",Model!A46+24,Model!A46)</f>
        <v>#VALUE!</v>
      </c>
      <c r="E45" s="203" t="e">
        <f aca="false">IF($A45&lt;End_Date,IF(Control!$C$20="Flat",Control!$C$21,VLOOKUP(Model!$A45,Euro!$B$29:$D$182,3)),0)</f>
        <v>#VALUE!</v>
      </c>
      <c r="F45" s="203" t="e">
        <f aca="false">E45*B45</f>
        <v>#VALUE!</v>
      </c>
      <c r="H45" s="204" t="e">
        <f aca="false">IF(Control!$C$27="Mid",VLOOKUP($A45,CurveFetch!$D$8:$F$367,3),VLOOKUP($A45,Euro!$B$29:$I$182,8))</f>
        <v>#VALUE!</v>
      </c>
      <c r="I45" s="204"/>
      <c r="J45" s="204" t="e">
        <f aca="false">IF($J$4="Mid",VLOOKUP($A45,Curve_Fetch,VLOOKUP(Control!$AJ$10,Control!$AI$11:$AK$22,3)),VLOOKUP($A45,Euro!$B$29:$M$182,12))</f>
        <v>#VALUE!</v>
      </c>
      <c r="K45" s="205" t="e">
        <f aca="false">IF(Control!$F$18="Physical",IF($K$4="Mid",VLOOKUP($A45,Curve_Fetch,VLOOKUP(Control!$AJ$10,Control!$AI$11:$AL$22,4)),VLOOKUP($A45,Euro!$B$29:$Q$182,16)),0)</f>
        <v>#VALUE!</v>
      </c>
      <c r="L45" s="204" t="e">
        <f aca="false">SUM(J45:K45)</f>
        <v>#VALUE!</v>
      </c>
      <c r="M45" s="204"/>
      <c r="N45" s="206" t="e">
        <f aca="false">L45+H45</f>
        <v>#VALUE!</v>
      </c>
      <c r="O45" s="206" t="e">
        <f aca="false">N45+Control!$C$39</f>
        <v>#VALUE!</v>
      </c>
      <c r="P45" s="207" t="e">
        <f aca="false">VLOOKUP($A45,CurveFetch!$D$8:$E$367,2)</f>
        <v>#VALUE!</v>
      </c>
      <c r="Q45" s="208" t="e">
        <f aca="false">P45</f>
        <v>#VALUE!</v>
      </c>
      <c r="R45" s="209" t="e">
        <f aca="true">A45-1-TODAY()</f>
        <v>#VALUE!</v>
      </c>
      <c r="S45" s="210" t="e">
        <f aca="false">VLOOKUP($A45,Curve_Fetch,VLOOKUP(Control!$AJ$10,Control!$AI$11:$AM$22,5))</f>
        <v>#VALUE!</v>
      </c>
      <c r="T45" s="211" t="e">
        <f aca="false">EURO(N45,O45,P45,Q45,S45,R45,IF(Control!$C$38="Call",1,0),0)</f>
        <v>#NAME?</v>
      </c>
      <c r="U45" s="174" t="e">
        <f aca="false">T45*B45*E45</f>
        <v>#VALUE!</v>
      </c>
      <c r="V45" s="212"/>
      <c r="W45" s="213"/>
      <c r="X45" s="213"/>
      <c r="Y45" s="213"/>
      <c r="AA45" s="214"/>
      <c r="AB45" s="214"/>
      <c r="AC45" s="215"/>
      <c r="AD45" s="216"/>
      <c r="AE45" s="217"/>
      <c r="AF45" s="218"/>
      <c r="AG45" s="219"/>
      <c r="AH45" s="220"/>
      <c r="AI45" s="174"/>
      <c r="AJ45" s="171" t="e">
        <f aca="false">Y45-L45</f>
        <v>#VALUE!</v>
      </c>
      <c r="AL45" s="208" t="e">
        <f aca="false">VLOOKUP($C45,Curve_Fetch,2)+Cost_of_Funds</f>
        <v>#VALUE!</v>
      </c>
      <c r="AM45" s="210" t="e">
        <f aca="false">1/(1+AL45/2)^(2*(C45-Val_Date)/365.25)</f>
        <v>#VALUE!</v>
      </c>
      <c r="AO45" s="222" t="e">
        <f aca="false">$B45*$E45*$AM45</f>
        <v>#VALUE!</v>
      </c>
      <c r="AP45" s="222"/>
      <c r="AQ45" s="222" t="e">
        <f aca="false">H45*AO45</f>
        <v>#VALUE!</v>
      </c>
      <c r="AR45" s="222"/>
      <c r="AS45" s="174" t="e">
        <f aca="false">J45*$AO45</f>
        <v>#VALUE!</v>
      </c>
      <c r="AT45" s="174" t="e">
        <f aca="false">K45*$AO45</f>
        <v>#VALUE!</v>
      </c>
      <c r="AU45" s="174" t="e">
        <f aca="false">L45*$AO45</f>
        <v>#VALUE!</v>
      </c>
      <c r="AV45" s="174"/>
      <c r="AW45" s="174"/>
      <c r="AY45" s="220"/>
      <c r="AZ45" s="220"/>
      <c r="BA45" s="223"/>
      <c r="BC45" s="220"/>
      <c r="BE45" s="206"/>
    </row>
    <row r="46" customFormat="false" ht="12.75" hidden="false" customHeight="false" outlineLevel="0" collapsed="false">
      <c r="A46" s="167" t="e">
        <f aca="false">([1]!edate,A45,1)</f>
        <v>#VALUE!</v>
      </c>
      <c r="B46" s="201" t="e">
        <f aca="false">A47-A46</f>
        <v>#VALUE!</v>
      </c>
      <c r="C46" s="202" t="e">
        <f aca="false">IF(Control!$F$18="Physical",Model!A47+24,Model!A47)</f>
        <v>#VALUE!</v>
      </c>
      <c r="E46" s="203" t="e">
        <f aca="false">IF($A46&lt;End_Date,IF(Control!$C$20="Flat",Control!$C$21,VLOOKUP(Model!$A46,Euro!$B$29:$D$182,3)),0)</f>
        <v>#VALUE!</v>
      </c>
      <c r="F46" s="203" t="e">
        <f aca="false">E46*B46</f>
        <v>#VALUE!</v>
      </c>
      <c r="H46" s="204" t="e">
        <f aca="false">IF(Control!$C$27="Mid",VLOOKUP($A46,CurveFetch!$D$8:$F$367,3),VLOOKUP($A46,Euro!$B$29:$I$182,8))</f>
        <v>#VALUE!</v>
      </c>
      <c r="I46" s="204"/>
      <c r="J46" s="204" t="e">
        <f aca="false">IF($J$4="Mid",VLOOKUP($A46,Curve_Fetch,VLOOKUP(Control!$AJ$10,Control!$AI$11:$AK$22,3)),VLOOKUP($A46,Euro!$B$29:$M$182,12))</f>
        <v>#VALUE!</v>
      </c>
      <c r="K46" s="205" t="e">
        <f aca="false">IF(Control!$F$18="Physical",IF($K$4="Mid",VLOOKUP($A46,Curve_Fetch,VLOOKUP(Control!$AJ$10,Control!$AI$11:$AL$22,4)),VLOOKUP($A46,Euro!$B$29:$Q$182,16)),0)</f>
        <v>#VALUE!</v>
      </c>
      <c r="L46" s="204" t="e">
        <f aca="false">SUM(J46:K46)</f>
        <v>#VALUE!</v>
      </c>
      <c r="M46" s="204"/>
      <c r="N46" s="206" t="e">
        <f aca="false">L46+H46</f>
        <v>#VALUE!</v>
      </c>
      <c r="O46" s="206" t="e">
        <f aca="false">N46+Control!$C$39</f>
        <v>#VALUE!</v>
      </c>
      <c r="P46" s="207" t="e">
        <f aca="false">VLOOKUP($A46,CurveFetch!$D$8:$E$367,2)</f>
        <v>#VALUE!</v>
      </c>
      <c r="Q46" s="208" t="e">
        <f aca="false">P46</f>
        <v>#VALUE!</v>
      </c>
      <c r="R46" s="209" t="e">
        <f aca="true">A46-1-TODAY()</f>
        <v>#VALUE!</v>
      </c>
      <c r="S46" s="210" t="e">
        <f aca="false">VLOOKUP($A46,Curve_Fetch,VLOOKUP(Control!$AJ$10,Control!$AI$11:$AM$22,5))</f>
        <v>#VALUE!</v>
      </c>
      <c r="T46" s="211" t="e">
        <f aca="false">EURO(N46,O46,P46,Q46,S46,R46,IF(Control!$C$38="Call",1,0),0)</f>
        <v>#NAME?</v>
      </c>
      <c r="U46" s="174" t="e">
        <f aca="false">T46*B46*E46</f>
        <v>#VALUE!</v>
      </c>
      <c r="V46" s="212"/>
      <c r="W46" s="213"/>
      <c r="X46" s="213"/>
      <c r="Y46" s="213"/>
      <c r="AA46" s="214"/>
      <c r="AB46" s="214"/>
      <c r="AC46" s="215"/>
      <c r="AD46" s="216"/>
      <c r="AE46" s="217"/>
      <c r="AF46" s="218"/>
      <c r="AG46" s="219"/>
      <c r="AH46" s="220"/>
      <c r="AI46" s="174"/>
      <c r="AJ46" s="171" t="e">
        <f aca="false">Y46-L46</f>
        <v>#VALUE!</v>
      </c>
      <c r="AL46" s="208" t="e">
        <f aca="false">VLOOKUP($C46,Curve_Fetch,2)+Cost_of_Funds</f>
        <v>#VALUE!</v>
      </c>
      <c r="AM46" s="210" t="e">
        <f aca="false">1/(1+AL46/2)^(2*(C46-Val_Date)/365.25)</f>
        <v>#VALUE!</v>
      </c>
      <c r="AO46" s="222" t="e">
        <f aca="false">$B46*$E46*$AM46</f>
        <v>#VALUE!</v>
      </c>
      <c r="AP46" s="222"/>
      <c r="AQ46" s="222" t="e">
        <f aca="false">H46*AO46</f>
        <v>#VALUE!</v>
      </c>
      <c r="AR46" s="222"/>
      <c r="AS46" s="174" t="e">
        <f aca="false">J46*$AO46</f>
        <v>#VALUE!</v>
      </c>
      <c r="AT46" s="174" t="e">
        <f aca="false">K46*$AO46</f>
        <v>#VALUE!</v>
      </c>
      <c r="AU46" s="174" t="e">
        <f aca="false">L46*$AO46</f>
        <v>#VALUE!</v>
      </c>
      <c r="AV46" s="174"/>
      <c r="AW46" s="174"/>
      <c r="AY46" s="220"/>
      <c r="AZ46" s="220"/>
      <c r="BA46" s="223"/>
      <c r="BC46" s="220"/>
      <c r="BE46" s="206"/>
    </row>
    <row r="47" customFormat="false" ht="12.75" hidden="false" customHeight="false" outlineLevel="0" collapsed="false">
      <c r="A47" s="167" t="e">
        <f aca="false">([1]!edate,A46,1)</f>
        <v>#VALUE!</v>
      </c>
      <c r="B47" s="201" t="e">
        <f aca="false">A48-A47</f>
        <v>#VALUE!</v>
      </c>
      <c r="C47" s="202" t="e">
        <f aca="false">IF(Control!$F$18="Physical",Model!A48+24,Model!A48)</f>
        <v>#VALUE!</v>
      </c>
      <c r="E47" s="203" t="e">
        <f aca="false">IF($A47&lt;End_Date,IF(Control!$C$20="Flat",Control!$C$21,VLOOKUP(Model!$A47,Euro!$B$29:$D$182,3)),0)</f>
        <v>#VALUE!</v>
      </c>
      <c r="F47" s="203" t="e">
        <f aca="false">E47*B47</f>
        <v>#VALUE!</v>
      </c>
      <c r="H47" s="204" t="e">
        <f aca="false">IF(Control!$C$27="Mid",VLOOKUP($A47,CurveFetch!$D$8:$F$367,3),VLOOKUP($A47,Euro!$B$29:$I$182,8))</f>
        <v>#VALUE!</v>
      </c>
      <c r="I47" s="204"/>
      <c r="J47" s="204" t="e">
        <f aca="false">IF($J$4="Mid",VLOOKUP($A47,Curve_Fetch,VLOOKUP(Control!$AJ$10,Control!$AI$11:$AK$22,3)),VLOOKUP($A47,Euro!$B$29:$M$182,12))</f>
        <v>#VALUE!</v>
      </c>
      <c r="K47" s="205" t="e">
        <f aca="false">IF(Control!$F$18="Physical",IF($K$4="Mid",VLOOKUP($A47,Curve_Fetch,VLOOKUP(Control!$AJ$10,Control!$AI$11:$AL$22,4)),VLOOKUP($A47,Euro!$B$29:$Q$182,16)),0)</f>
        <v>#VALUE!</v>
      </c>
      <c r="L47" s="204" t="e">
        <f aca="false">SUM(J47:K47)</f>
        <v>#VALUE!</v>
      </c>
      <c r="M47" s="204"/>
      <c r="N47" s="206" t="e">
        <f aca="false">L47+H47</f>
        <v>#VALUE!</v>
      </c>
      <c r="O47" s="206" t="e">
        <f aca="false">N47+Control!$C$39</f>
        <v>#VALUE!</v>
      </c>
      <c r="P47" s="207" t="e">
        <f aca="false">VLOOKUP($A47,CurveFetch!$D$8:$E$367,2)</f>
        <v>#VALUE!</v>
      </c>
      <c r="Q47" s="208" t="e">
        <f aca="false">P47</f>
        <v>#VALUE!</v>
      </c>
      <c r="R47" s="209" t="e">
        <f aca="true">A47-1-TODAY()</f>
        <v>#VALUE!</v>
      </c>
      <c r="S47" s="210" t="e">
        <f aca="false">VLOOKUP($A47,Curve_Fetch,VLOOKUP(Control!$AJ$10,Control!$AI$11:$AM$22,5))</f>
        <v>#VALUE!</v>
      </c>
      <c r="T47" s="211" t="e">
        <f aca="false">EURO(N47,O47,P47,Q47,S47,R47,IF(Control!$C$38="Call",1,0),0)</f>
        <v>#NAME?</v>
      </c>
      <c r="U47" s="174" t="e">
        <f aca="false">T47*B47*E47</f>
        <v>#VALUE!</v>
      </c>
      <c r="V47" s="212"/>
      <c r="W47" s="213"/>
      <c r="X47" s="213"/>
      <c r="Y47" s="213"/>
      <c r="AA47" s="214"/>
      <c r="AB47" s="214"/>
      <c r="AC47" s="215"/>
      <c r="AD47" s="216"/>
      <c r="AE47" s="217"/>
      <c r="AF47" s="218"/>
      <c r="AG47" s="219"/>
      <c r="AH47" s="220"/>
      <c r="AI47" s="174"/>
      <c r="AJ47" s="171" t="e">
        <f aca="false">Y47-L47</f>
        <v>#VALUE!</v>
      </c>
      <c r="AL47" s="208" t="e">
        <f aca="false">VLOOKUP($C47,Curve_Fetch,2)+Cost_of_Funds</f>
        <v>#VALUE!</v>
      </c>
      <c r="AM47" s="210" t="e">
        <f aca="false">1/(1+AL47/2)^(2*(C47-Val_Date)/365.25)</f>
        <v>#VALUE!</v>
      </c>
      <c r="AO47" s="222" t="e">
        <f aca="false">$B47*$E47*$AM47</f>
        <v>#VALUE!</v>
      </c>
      <c r="AP47" s="222"/>
      <c r="AQ47" s="222" t="e">
        <f aca="false">H47*AO47</f>
        <v>#VALUE!</v>
      </c>
      <c r="AR47" s="222"/>
      <c r="AS47" s="174" t="e">
        <f aca="false">J47*$AO47</f>
        <v>#VALUE!</v>
      </c>
      <c r="AT47" s="174" t="e">
        <f aca="false">K47*$AO47</f>
        <v>#VALUE!</v>
      </c>
      <c r="AU47" s="174" t="e">
        <f aca="false">L47*$AO47</f>
        <v>#VALUE!</v>
      </c>
      <c r="AV47" s="174"/>
      <c r="AW47" s="174"/>
      <c r="AY47" s="220"/>
      <c r="AZ47" s="220"/>
      <c r="BA47" s="223"/>
      <c r="BC47" s="220"/>
      <c r="BE47" s="206"/>
    </row>
    <row r="48" customFormat="false" ht="12.75" hidden="false" customHeight="false" outlineLevel="0" collapsed="false">
      <c r="A48" s="167" t="e">
        <f aca="false">([1]!edate,A47,1)</f>
        <v>#VALUE!</v>
      </c>
      <c r="B48" s="201" t="e">
        <f aca="false">A49-A48</f>
        <v>#VALUE!</v>
      </c>
      <c r="C48" s="202" t="e">
        <f aca="false">IF(Control!$F$18="Physical",Model!A49+24,Model!A49)</f>
        <v>#VALUE!</v>
      </c>
      <c r="E48" s="203" t="e">
        <f aca="false">IF($A48&lt;End_Date,IF(Control!$C$20="Flat",Control!$C$21,VLOOKUP(Model!$A48,Euro!$B$29:$D$182,3)),0)</f>
        <v>#VALUE!</v>
      </c>
      <c r="F48" s="203" t="e">
        <f aca="false">E48*B48</f>
        <v>#VALUE!</v>
      </c>
      <c r="H48" s="204" t="e">
        <f aca="false">IF(Control!$C$27="Mid",VLOOKUP($A48,CurveFetch!$D$8:$F$367,3),VLOOKUP($A48,Euro!$B$29:$I$182,8))</f>
        <v>#VALUE!</v>
      </c>
      <c r="I48" s="204"/>
      <c r="J48" s="204" t="e">
        <f aca="false">IF($J$4="Mid",VLOOKUP($A48,Curve_Fetch,VLOOKUP(Control!$AJ$10,Control!$AI$11:$AK$22,3)),VLOOKUP($A48,Euro!$B$29:$M$182,12))</f>
        <v>#VALUE!</v>
      </c>
      <c r="K48" s="205" t="e">
        <f aca="false">IF(Control!$F$18="Physical",IF($K$4="Mid",VLOOKUP($A48,Curve_Fetch,VLOOKUP(Control!$AJ$10,Control!$AI$11:$AL$22,4)),VLOOKUP($A48,Euro!$B$29:$Q$182,16)),0)</f>
        <v>#VALUE!</v>
      </c>
      <c r="L48" s="204" t="e">
        <f aca="false">SUM(J48:K48)</f>
        <v>#VALUE!</v>
      </c>
      <c r="M48" s="204"/>
      <c r="N48" s="206" t="e">
        <f aca="false">L48+H48</f>
        <v>#VALUE!</v>
      </c>
      <c r="O48" s="206" t="e">
        <f aca="false">N48+Control!$C$39</f>
        <v>#VALUE!</v>
      </c>
      <c r="P48" s="207" t="e">
        <f aca="false">VLOOKUP($A48,CurveFetch!$D$8:$E$367,2)</f>
        <v>#VALUE!</v>
      </c>
      <c r="Q48" s="208" t="e">
        <f aca="false">P48</f>
        <v>#VALUE!</v>
      </c>
      <c r="R48" s="209" t="e">
        <f aca="true">A48-1-TODAY()</f>
        <v>#VALUE!</v>
      </c>
      <c r="S48" s="210" t="e">
        <f aca="false">VLOOKUP($A48,Curve_Fetch,VLOOKUP(Control!$AJ$10,Control!$AI$11:$AM$22,5))</f>
        <v>#VALUE!</v>
      </c>
      <c r="T48" s="211" t="e">
        <f aca="false">EURO(N48,O48,P48,Q48,S48,R48,IF(Control!$C$38="Call",1,0),0)</f>
        <v>#NAME?</v>
      </c>
      <c r="U48" s="174" t="e">
        <f aca="false">T48*B48*E48</f>
        <v>#VALUE!</v>
      </c>
      <c r="V48" s="212"/>
      <c r="W48" s="213"/>
      <c r="X48" s="213"/>
      <c r="Y48" s="213"/>
      <c r="AA48" s="214"/>
      <c r="AB48" s="214"/>
      <c r="AC48" s="215"/>
      <c r="AD48" s="216"/>
      <c r="AE48" s="217"/>
      <c r="AF48" s="218"/>
      <c r="AG48" s="219"/>
      <c r="AH48" s="220"/>
      <c r="AI48" s="174"/>
      <c r="AJ48" s="171" t="e">
        <f aca="false">Y48-L48</f>
        <v>#VALUE!</v>
      </c>
      <c r="AL48" s="208" t="e">
        <f aca="false">VLOOKUP($C48,Curve_Fetch,2)+Cost_of_Funds</f>
        <v>#VALUE!</v>
      </c>
      <c r="AM48" s="210" t="e">
        <f aca="false">1/(1+AL48/2)^(2*(C48-Val_Date)/365.25)</f>
        <v>#VALUE!</v>
      </c>
      <c r="AO48" s="222" t="e">
        <f aca="false">$B48*$E48*$AM48</f>
        <v>#VALUE!</v>
      </c>
      <c r="AP48" s="222"/>
      <c r="AQ48" s="222" t="e">
        <f aca="false">H48*AO48</f>
        <v>#VALUE!</v>
      </c>
      <c r="AR48" s="222"/>
      <c r="AS48" s="174" t="e">
        <f aca="false">J48*$AO48</f>
        <v>#VALUE!</v>
      </c>
      <c r="AT48" s="174" t="e">
        <f aca="false">K48*$AO48</f>
        <v>#VALUE!</v>
      </c>
      <c r="AU48" s="174" t="e">
        <f aca="false">L48*$AO48</f>
        <v>#VALUE!</v>
      </c>
      <c r="AV48" s="174"/>
      <c r="AW48" s="174"/>
      <c r="AY48" s="220"/>
      <c r="AZ48" s="220"/>
      <c r="BA48" s="223"/>
      <c r="BC48" s="220"/>
      <c r="BE48" s="206"/>
    </row>
    <row r="49" customFormat="false" ht="12.75" hidden="false" customHeight="false" outlineLevel="0" collapsed="false">
      <c r="A49" s="167" t="e">
        <f aca="false">([1]!edate,A48,1)</f>
        <v>#VALUE!</v>
      </c>
      <c r="B49" s="201" t="e">
        <f aca="false">A50-A49</f>
        <v>#VALUE!</v>
      </c>
      <c r="C49" s="202" t="e">
        <f aca="false">IF(Control!$F$18="Physical",Model!A50+24,Model!A50)</f>
        <v>#VALUE!</v>
      </c>
      <c r="E49" s="203" t="e">
        <f aca="false">IF($A49&lt;End_Date,IF(Control!$C$20="Flat",Control!$C$21,VLOOKUP(Model!$A49,Euro!$B$29:$D$182,3)),0)</f>
        <v>#VALUE!</v>
      </c>
      <c r="F49" s="203" t="e">
        <f aca="false">E49*B49</f>
        <v>#VALUE!</v>
      </c>
      <c r="H49" s="204" t="e">
        <f aca="false">IF(Control!$C$27="Mid",VLOOKUP($A49,CurveFetch!$D$8:$F$367,3),VLOOKUP($A49,Euro!$B$29:$I$182,8))</f>
        <v>#VALUE!</v>
      </c>
      <c r="I49" s="204"/>
      <c r="J49" s="204" t="e">
        <f aca="false">IF($J$4="Mid",VLOOKUP($A49,Curve_Fetch,VLOOKUP(Control!$AJ$10,Control!$AI$11:$AK$22,3)),VLOOKUP($A49,Euro!$B$29:$M$182,12))</f>
        <v>#VALUE!</v>
      </c>
      <c r="K49" s="205" t="e">
        <f aca="false">IF(Control!$F$18="Physical",IF($K$4="Mid",VLOOKUP($A49,Curve_Fetch,VLOOKUP(Control!$AJ$10,Control!$AI$11:$AL$22,4)),VLOOKUP($A49,Euro!$B$29:$Q$182,16)),0)</f>
        <v>#VALUE!</v>
      </c>
      <c r="L49" s="204" t="e">
        <f aca="false">SUM(J49:K49)</f>
        <v>#VALUE!</v>
      </c>
      <c r="M49" s="204"/>
      <c r="N49" s="206" t="e">
        <f aca="false">L49+H49</f>
        <v>#VALUE!</v>
      </c>
      <c r="O49" s="206" t="e">
        <f aca="false">N49+Control!$C$39</f>
        <v>#VALUE!</v>
      </c>
      <c r="P49" s="207" t="e">
        <f aca="false">VLOOKUP($A49,CurveFetch!$D$8:$E$367,2)</f>
        <v>#VALUE!</v>
      </c>
      <c r="Q49" s="208" t="e">
        <f aca="false">P49</f>
        <v>#VALUE!</v>
      </c>
      <c r="R49" s="209" t="e">
        <f aca="true">A49-1-TODAY()</f>
        <v>#VALUE!</v>
      </c>
      <c r="S49" s="210" t="e">
        <f aca="false">VLOOKUP($A49,Curve_Fetch,VLOOKUP(Control!$AJ$10,Control!$AI$11:$AM$22,5))</f>
        <v>#VALUE!</v>
      </c>
      <c r="T49" s="211" t="e">
        <f aca="false">EURO(N49,O49,P49,Q49,S49,R49,IF(Control!$C$38="Call",1,0),0)</f>
        <v>#NAME?</v>
      </c>
      <c r="U49" s="174" t="e">
        <f aca="false">T49*B49*E49</f>
        <v>#VALUE!</v>
      </c>
      <c r="V49" s="212"/>
      <c r="W49" s="213"/>
      <c r="X49" s="213"/>
      <c r="Y49" s="213"/>
      <c r="AA49" s="214"/>
      <c r="AB49" s="214"/>
      <c r="AC49" s="215"/>
      <c r="AD49" s="216"/>
      <c r="AE49" s="217"/>
      <c r="AF49" s="218"/>
      <c r="AG49" s="219"/>
      <c r="AH49" s="220"/>
      <c r="AI49" s="174"/>
      <c r="AJ49" s="171" t="e">
        <f aca="false">Y49-L49</f>
        <v>#VALUE!</v>
      </c>
      <c r="AL49" s="208" t="e">
        <f aca="false">VLOOKUP($C49,Curve_Fetch,2)+Cost_of_Funds</f>
        <v>#VALUE!</v>
      </c>
      <c r="AM49" s="210" t="e">
        <f aca="false">1/(1+AL49/2)^(2*(C49-Val_Date)/365.25)</f>
        <v>#VALUE!</v>
      </c>
      <c r="AO49" s="222" t="e">
        <f aca="false">$B49*$E49*$AM49</f>
        <v>#VALUE!</v>
      </c>
      <c r="AP49" s="222"/>
      <c r="AQ49" s="222" t="e">
        <f aca="false">H49*AO49</f>
        <v>#VALUE!</v>
      </c>
      <c r="AR49" s="222"/>
      <c r="AS49" s="174" t="e">
        <f aca="false">J49*$AO49</f>
        <v>#VALUE!</v>
      </c>
      <c r="AT49" s="174" t="e">
        <f aca="false">K49*$AO49</f>
        <v>#VALUE!</v>
      </c>
      <c r="AU49" s="174" t="e">
        <f aca="false">L49*$AO49</f>
        <v>#VALUE!</v>
      </c>
      <c r="AV49" s="174"/>
      <c r="AW49" s="174"/>
      <c r="AY49" s="220"/>
      <c r="AZ49" s="220"/>
      <c r="BA49" s="223"/>
      <c r="BC49" s="220"/>
      <c r="BE49" s="206"/>
    </row>
    <row r="50" customFormat="false" ht="12.75" hidden="false" customHeight="false" outlineLevel="0" collapsed="false">
      <c r="A50" s="167" t="e">
        <f aca="false">([1]!edate,A49,1)</f>
        <v>#VALUE!</v>
      </c>
      <c r="B50" s="201" t="e">
        <f aca="false">A51-A50</f>
        <v>#VALUE!</v>
      </c>
      <c r="C50" s="202" t="e">
        <f aca="false">IF(Control!$F$18="Physical",Model!A51+24,Model!A51)</f>
        <v>#VALUE!</v>
      </c>
      <c r="E50" s="203" t="e">
        <f aca="false">IF($A50&lt;End_Date,IF(Control!$C$20="Flat",Control!$C$21,VLOOKUP(Model!$A50,Euro!$B$29:$D$182,3)),0)</f>
        <v>#VALUE!</v>
      </c>
      <c r="F50" s="203" t="e">
        <f aca="false">E50*B50</f>
        <v>#VALUE!</v>
      </c>
      <c r="H50" s="204" t="e">
        <f aca="false">IF(Control!$C$27="Mid",VLOOKUP($A50,CurveFetch!$D$8:$F$367,3),VLOOKUP($A50,Euro!$B$29:$I$182,8))</f>
        <v>#VALUE!</v>
      </c>
      <c r="I50" s="204"/>
      <c r="J50" s="204" t="e">
        <f aca="false">IF($J$4="Mid",VLOOKUP($A50,Curve_Fetch,VLOOKUP(Control!$AJ$10,Control!$AI$11:$AK$22,3)),VLOOKUP($A50,Euro!$B$29:$M$182,12))</f>
        <v>#VALUE!</v>
      </c>
      <c r="K50" s="205" t="e">
        <f aca="false">IF(Control!$F$18="Physical",IF($K$4="Mid",VLOOKUP($A50,Curve_Fetch,VLOOKUP(Control!$AJ$10,Control!$AI$11:$AL$22,4)),VLOOKUP($A50,Euro!$B$29:$Q$182,16)),0)</f>
        <v>#VALUE!</v>
      </c>
      <c r="L50" s="204" t="e">
        <f aca="false">SUM(J50:K50)</f>
        <v>#VALUE!</v>
      </c>
      <c r="M50" s="204"/>
      <c r="N50" s="206" t="e">
        <f aca="false">L50+H50</f>
        <v>#VALUE!</v>
      </c>
      <c r="O50" s="206" t="e">
        <f aca="false">N50+Control!$C$39</f>
        <v>#VALUE!</v>
      </c>
      <c r="P50" s="207" t="e">
        <f aca="false">VLOOKUP($A50,CurveFetch!$D$8:$E$367,2)</f>
        <v>#VALUE!</v>
      </c>
      <c r="Q50" s="208" t="e">
        <f aca="false">P50</f>
        <v>#VALUE!</v>
      </c>
      <c r="R50" s="209" t="e">
        <f aca="true">A50-1-TODAY()</f>
        <v>#VALUE!</v>
      </c>
      <c r="S50" s="210" t="e">
        <f aca="false">VLOOKUP($A50,Curve_Fetch,VLOOKUP(Control!$AJ$10,Control!$AI$11:$AM$22,5))</f>
        <v>#VALUE!</v>
      </c>
      <c r="T50" s="211" t="e">
        <f aca="false">EURO(N50,O50,P50,Q50,S50,R50,IF(Control!$C$38="Call",1,0),0)</f>
        <v>#NAME?</v>
      </c>
      <c r="U50" s="174" t="e">
        <f aca="false">T50*B50*E50</f>
        <v>#VALUE!</v>
      </c>
      <c r="V50" s="212"/>
      <c r="W50" s="213"/>
      <c r="X50" s="213"/>
      <c r="Y50" s="213"/>
      <c r="AA50" s="214"/>
      <c r="AB50" s="214"/>
      <c r="AC50" s="215"/>
      <c r="AD50" s="216"/>
      <c r="AE50" s="217"/>
      <c r="AF50" s="218"/>
      <c r="AG50" s="219"/>
      <c r="AH50" s="220"/>
      <c r="AI50" s="174"/>
      <c r="AJ50" s="171" t="e">
        <f aca="false">Y50-L50</f>
        <v>#VALUE!</v>
      </c>
      <c r="AL50" s="208" t="e">
        <f aca="false">VLOOKUP($C50,Curve_Fetch,2)+Cost_of_Funds</f>
        <v>#VALUE!</v>
      </c>
      <c r="AM50" s="210" t="e">
        <f aca="false">1/(1+AL50/2)^(2*(C50-Val_Date)/365.25)</f>
        <v>#VALUE!</v>
      </c>
      <c r="AO50" s="222" t="e">
        <f aca="false">$B50*$E50*$AM50</f>
        <v>#VALUE!</v>
      </c>
      <c r="AP50" s="222"/>
      <c r="AQ50" s="222" t="e">
        <f aca="false">H50*AO50</f>
        <v>#VALUE!</v>
      </c>
      <c r="AR50" s="222"/>
      <c r="AS50" s="174" t="e">
        <f aca="false">J50*$AO50</f>
        <v>#VALUE!</v>
      </c>
      <c r="AT50" s="174" t="e">
        <f aca="false">K50*$AO50</f>
        <v>#VALUE!</v>
      </c>
      <c r="AU50" s="174" t="e">
        <f aca="false">L50*$AO50</f>
        <v>#VALUE!</v>
      </c>
      <c r="AV50" s="174"/>
      <c r="AW50" s="174"/>
      <c r="AY50" s="220"/>
      <c r="AZ50" s="220"/>
      <c r="BA50" s="223"/>
      <c r="BC50" s="220"/>
      <c r="BE50" s="206"/>
    </row>
    <row r="51" customFormat="false" ht="12.75" hidden="false" customHeight="false" outlineLevel="0" collapsed="false">
      <c r="A51" s="167" t="e">
        <f aca="false">([1]!edate,A50,1)</f>
        <v>#VALUE!</v>
      </c>
      <c r="B51" s="201" t="e">
        <f aca="false">A52-A51</f>
        <v>#VALUE!</v>
      </c>
      <c r="C51" s="202" t="e">
        <f aca="false">IF(Control!$F$18="Physical",Model!A52+24,Model!A52)</f>
        <v>#VALUE!</v>
      </c>
      <c r="E51" s="203" t="e">
        <f aca="false">IF($A51&lt;End_Date,IF(Control!$C$20="Flat",Control!$C$21,VLOOKUP(Model!$A51,Euro!$B$29:$D$182,3)),0)</f>
        <v>#VALUE!</v>
      </c>
      <c r="F51" s="203" t="e">
        <f aca="false">E51*B51</f>
        <v>#VALUE!</v>
      </c>
      <c r="H51" s="204" t="e">
        <f aca="false">IF(Control!$C$27="Mid",VLOOKUP($A51,CurveFetch!$D$8:$F$367,3),VLOOKUP($A51,Euro!$B$29:$I$182,8))</f>
        <v>#VALUE!</v>
      </c>
      <c r="I51" s="204"/>
      <c r="J51" s="204" t="e">
        <f aca="false">IF($J$4="Mid",VLOOKUP($A51,Curve_Fetch,VLOOKUP(Control!$AJ$10,Control!$AI$11:$AK$22,3)),VLOOKUP($A51,Euro!$B$29:$M$182,12))</f>
        <v>#VALUE!</v>
      </c>
      <c r="K51" s="205" t="e">
        <f aca="false">IF(Control!$F$18="Physical",IF($K$4="Mid",VLOOKUP($A51,Curve_Fetch,VLOOKUP(Control!$AJ$10,Control!$AI$11:$AL$22,4)),VLOOKUP($A51,Euro!$B$29:$Q$182,16)),0)</f>
        <v>#VALUE!</v>
      </c>
      <c r="L51" s="204" t="e">
        <f aca="false">SUM(J51:K51)</f>
        <v>#VALUE!</v>
      </c>
      <c r="M51" s="204"/>
      <c r="N51" s="206" t="e">
        <f aca="false">L51+H51</f>
        <v>#VALUE!</v>
      </c>
      <c r="O51" s="206" t="e">
        <f aca="false">N51+Control!$C$39</f>
        <v>#VALUE!</v>
      </c>
      <c r="P51" s="207" t="e">
        <f aca="false">VLOOKUP($A51,CurveFetch!$D$8:$E$367,2)</f>
        <v>#VALUE!</v>
      </c>
      <c r="Q51" s="208" t="e">
        <f aca="false">P51</f>
        <v>#VALUE!</v>
      </c>
      <c r="R51" s="209" t="e">
        <f aca="true">A51-1-TODAY()</f>
        <v>#VALUE!</v>
      </c>
      <c r="S51" s="210" t="e">
        <f aca="false">VLOOKUP($A51,Curve_Fetch,VLOOKUP(Control!$AJ$10,Control!$AI$11:$AM$22,5))</f>
        <v>#VALUE!</v>
      </c>
      <c r="T51" s="211" t="e">
        <f aca="false">EURO(N51,O51,P51,Q51,S51,R51,IF(Control!$C$38="Call",1,0),0)</f>
        <v>#NAME?</v>
      </c>
      <c r="U51" s="174" t="e">
        <f aca="false">T51*B51*E51</f>
        <v>#VALUE!</v>
      </c>
      <c r="V51" s="212"/>
      <c r="W51" s="213"/>
      <c r="X51" s="213"/>
      <c r="Y51" s="213"/>
      <c r="AA51" s="214"/>
      <c r="AB51" s="214"/>
      <c r="AC51" s="215"/>
      <c r="AD51" s="216"/>
      <c r="AE51" s="217"/>
      <c r="AF51" s="218"/>
      <c r="AG51" s="219"/>
      <c r="AH51" s="220"/>
      <c r="AI51" s="174"/>
      <c r="AJ51" s="171" t="e">
        <f aca="false">Y51-L51</f>
        <v>#VALUE!</v>
      </c>
      <c r="AL51" s="208" t="e">
        <f aca="false">VLOOKUP($C51,Curve_Fetch,2)+Cost_of_Funds</f>
        <v>#VALUE!</v>
      </c>
      <c r="AM51" s="210" t="e">
        <f aca="false">1/(1+AL51/2)^(2*(C51-Val_Date)/365.25)</f>
        <v>#VALUE!</v>
      </c>
      <c r="AO51" s="222" t="e">
        <f aca="false">$B51*$E51*$AM51</f>
        <v>#VALUE!</v>
      </c>
      <c r="AP51" s="222"/>
      <c r="AQ51" s="222" t="e">
        <f aca="false">H51*AO51</f>
        <v>#VALUE!</v>
      </c>
      <c r="AR51" s="222"/>
      <c r="AS51" s="174" t="e">
        <f aca="false">J51*$AO51</f>
        <v>#VALUE!</v>
      </c>
      <c r="AT51" s="174" t="e">
        <f aca="false">K51*$AO51</f>
        <v>#VALUE!</v>
      </c>
      <c r="AU51" s="174" t="e">
        <f aca="false">L51*$AO51</f>
        <v>#VALUE!</v>
      </c>
      <c r="AV51" s="174"/>
      <c r="AW51" s="174"/>
      <c r="AY51" s="220"/>
      <c r="AZ51" s="220"/>
      <c r="BA51" s="223"/>
      <c r="BC51" s="220"/>
      <c r="BE51" s="206"/>
    </row>
    <row r="52" customFormat="false" ht="12.75" hidden="false" customHeight="false" outlineLevel="0" collapsed="false">
      <c r="A52" s="167" t="e">
        <f aca="false">([1]!edate,A51,1)</f>
        <v>#VALUE!</v>
      </c>
      <c r="B52" s="201" t="e">
        <f aca="false">A53-A52</f>
        <v>#VALUE!</v>
      </c>
      <c r="C52" s="202" t="e">
        <f aca="false">IF(Control!$F$18="Physical",Model!A53+24,Model!A53)</f>
        <v>#VALUE!</v>
      </c>
      <c r="E52" s="203" t="e">
        <f aca="false">IF($A52&lt;End_Date,IF(Control!$C$20="Flat",Control!$C$21,VLOOKUP(Model!$A52,Euro!$B$29:$D$182,3)),0)</f>
        <v>#VALUE!</v>
      </c>
      <c r="F52" s="203" t="e">
        <f aca="false">E52*B52</f>
        <v>#VALUE!</v>
      </c>
      <c r="H52" s="204" t="e">
        <f aca="false">IF(Control!$C$27="Mid",VLOOKUP($A52,CurveFetch!$D$8:$F$367,3),VLOOKUP($A52,Euro!$B$29:$I$182,8))</f>
        <v>#VALUE!</v>
      </c>
      <c r="I52" s="204"/>
      <c r="J52" s="204" t="e">
        <f aca="false">IF($J$4="Mid",VLOOKUP($A52,Curve_Fetch,VLOOKUP(Control!$AJ$10,Control!$AI$11:$AK$22,3)),VLOOKUP($A52,Euro!$B$29:$M$182,12))</f>
        <v>#VALUE!</v>
      </c>
      <c r="K52" s="205" t="e">
        <f aca="false">IF(Control!$F$18="Physical",IF($K$4="Mid",VLOOKUP($A52,Curve_Fetch,VLOOKUP(Control!$AJ$10,Control!$AI$11:$AL$22,4)),VLOOKUP($A52,Euro!$B$29:$Q$182,16)),0)</f>
        <v>#VALUE!</v>
      </c>
      <c r="L52" s="204" t="e">
        <f aca="false">SUM(J52:K52)</f>
        <v>#VALUE!</v>
      </c>
      <c r="M52" s="204"/>
      <c r="N52" s="206" t="e">
        <f aca="false">L52+H52</f>
        <v>#VALUE!</v>
      </c>
      <c r="O52" s="206" t="e">
        <f aca="false">N52+Control!$C$39</f>
        <v>#VALUE!</v>
      </c>
      <c r="P52" s="207" t="e">
        <f aca="false">VLOOKUP($A52,CurveFetch!$D$8:$E$367,2)</f>
        <v>#VALUE!</v>
      </c>
      <c r="Q52" s="208" t="e">
        <f aca="false">P52</f>
        <v>#VALUE!</v>
      </c>
      <c r="R52" s="209" t="e">
        <f aca="true">A52-1-TODAY()</f>
        <v>#VALUE!</v>
      </c>
      <c r="S52" s="210" t="e">
        <f aca="false">VLOOKUP($A52,Curve_Fetch,VLOOKUP(Control!$AJ$10,Control!$AI$11:$AM$22,5))</f>
        <v>#VALUE!</v>
      </c>
      <c r="T52" s="211" t="e">
        <f aca="false">EURO(N52,O52,P52,Q52,S52,R52,IF(Control!$C$38="Call",1,0),0)</f>
        <v>#NAME?</v>
      </c>
      <c r="U52" s="174" t="e">
        <f aca="false">T52*B52*E52</f>
        <v>#VALUE!</v>
      </c>
      <c r="V52" s="212"/>
      <c r="W52" s="213"/>
      <c r="X52" s="213"/>
      <c r="Y52" s="213"/>
      <c r="AA52" s="214"/>
      <c r="AB52" s="214"/>
      <c r="AC52" s="215"/>
      <c r="AD52" s="216"/>
      <c r="AE52" s="217"/>
      <c r="AF52" s="218"/>
      <c r="AG52" s="219"/>
      <c r="AH52" s="220"/>
      <c r="AI52" s="174"/>
      <c r="AJ52" s="171" t="e">
        <f aca="false">Y52-L52</f>
        <v>#VALUE!</v>
      </c>
      <c r="AL52" s="208" t="e">
        <f aca="false">VLOOKUP($C52,Curve_Fetch,2)+Cost_of_Funds</f>
        <v>#VALUE!</v>
      </c>
      <c r="AM52" s="210" t="e">
        <f aca="false">1/(1+AL52/2)^(2*(C52-Val_Date)/365.25)</f>
        <v>#VALUE!</v>
      </c>
      <c r="AO52" s="222" t="e">
        <f aca="false">$B52*$E52*$AM52</f>
        <v>#VALUE!</v>
      </c>
      <c r="AP52" s="222"/>
      <c r="AQ52" s="222" t="e">
        <f aca="false">H52*AO52</f>
        <v>#VALUE!</v>
      </c>
      <c r="AR52" s="222"/>
      <c r="AS52" s="174" t="e">
        <f aca="false">J52*$AO52</f>
        <v>#VALUE!</v>
      </c>
      <c r="AT52" s="174" t="e">
        <f aca="false">K52*$AO52</f>
        <v>#VALUE!</v>
      </c>
      <c r="AU52" s="174" t="e">
        <f aca="false">L52*$AO52</f>
        <v>#VALUE!</v>
      </c>
      <c r="AV52" s="174"/>
      <c r="AW52" s="174"/>
      <c r="AY52" s="220"/>
      <c r="AZ52" s="220"/>
      <c r="BA52" s="223"/>
      <c r="BC52" s="220"/>
      <c r="BE52" s="206"/>
    </row>
    <row r="53" customFormat="false" ht="12.75" hidden="false" customHeight="false" outlineLevel="0" collapsed="false">
      <c r="A53" s="167" t="e">
        <f aca="false">([1]!edate,A52,1)</f>
        <v>#VALUE!</v>
      </c>
      <c r="B53" s="201" t="e">
        <f aca="false">A54-A53</f>
        <v>#VALUE!</v>
      </c>
      <c r="C53" s="202" t="e">
        <f aca="false">IF(Control!$F$18="Physical",Model!A54+24,Model!A54)</f>
        <v>#VALUE!</v>
      </c>
      <c r="E53" s="203" t="e">
        <f aca="false">IF($A53&lt;End_Date,IF(Control!$C$20="Flat",Control!$C$21,VLOOKUP(Model!$A53,Euro!$B$29:$D$182,3)),0)</f>
        <v>#VALUE!</v>
      </c>
      <c r="F53" s="203" t="e">
        <f aca="false">E53*B53</f>
        <v>#VALUE!</v>
      </c>
      <c r="H53" s="204" t="e">
        <f aca="false">IF(Control!$C$27="Mid",VLOOKUP($A53,CurveFetch!$D$8:$F$367,3),VLOOKUP($A53,Euro!$B$29:$I$182,8))</f>
        <v>#VALUE!</v>
      </c>
      <c r="I53" s="204"/>
      <c r="J53" s="204" t="e">
        <f aca="false">IF($J$4="Mid",VLOOKUP($A53,Curve_Fetch,VLOOKUP(Control!$AJ$10,Control!$AI$11:$AK$22,3)),VLOOKUP($A53,Euro!$B$29:$M$182,12))</f>
        <v>#VALUE!</v>
      </c>
      <c r="K53" s="205" t="e">
        <f aca="false">IF(Control!$F$18="Physical",IF($K$4="Mid",VLOOKUP($A53,Curve_Fetch,VLOOKUP(Control!$AJ$10,Control!$AI$11:$AL$22,4)),VLOOKUP($A53,Euro!$B$29:$Q$182,16)),0)</f>
        <v>#VALUE!</v>
      </c>
      <c r="L53" s="204" t="e">
        <f aca="false">SUM(J53:K53)</f>
        <v>#VALUE!</v>
      </c>
      <c r="M53" s="204"/>
      <c r="N53" s="206" t="e">
        <f aca="false">L53+H53</f>
        <v>#VALUE!</v>
      </c>
      <c r="O53" s="206" t="e">
        <f aca="false">N53+Control!$C$39</f>
        <v>#VALUE!</v>
      </c>
      <c r="P53" s="207" t="e">
        <f aca="false">VLOOKUP($A53,CurveFetch!$D$8:$E$367,2)</f>
        <v>#VALUE!</v>
      </c>
      <c r="Q53" s="208" t="e">
        <f aca="false">P53</f>
        <v>#VALUE!</v>
      </c>
      <c r="R53" s="209" t="e">
        <f aca="true">A53-1-TODAY()</f>
        <v>#VALUE!</v>
      </c>
      <c r="S53" s="210" t="e">
        <f aca="false">VLOOKUP($A53,Curve_Fetch,VLOOKUP(Control!$AJ$10,Control!$AI$11:$AM$22,5))</f>
        <v>#VALUE!</v>
      </c>
      <c r="T53" s="211" t="e">
        <f aca="false">EURO(N53,O53,P53,Q53,S53,R53,IF(Control!$C$38="Call",1,0),0)</f>
        <v>#NAME?</v>
      </c>
      <c r="U53" s="174" t="e">
        <f aca="false">T53*B53*E53</f>
        <v>#VALUE!</v>
      </c>
      <c r="V53" s="212"/>
      <c r="W53" s="213"/>
      <c r="X53" s="213"/>
      <c r="Y53" s="213"/>
      <c r="AA53" s="214"/>
      <c r="AB53" s="214"/>
      <c r="AC53" s="215"/>
      <c r="AD53" s="216"/>
      <c r="AE53" s="217"/>
      <c r="AF53" s="218"/>
      <c r="AG53" s="219"/>
      <c r="AH53" s="220"/>
      <c r="AI53" s="174"/>
      <c r="AJ53" s="171" t="e">
        <f aca="false">Y53-L53</f>
        <v>#VALUE!</v>
      </c>
      <c r="AL53" s="208" t="e">
        <f aca="false">VLOOKUP($C53,Curve_Fetch,2)+Cost_of_Funds</f>
        <v>#VALUE!</v>
      </c>
      <c r="AM53" s="210" t="e">
        <f aca="false">1/(1+AL53/2)^(2*(C53-Val_Date)/365.25)</f>
        <v>#VALUE!</v>
      </c>
      <c r="AO53" s="222" t="e">
        <f aca="false">$B53*$E53*$AM53</f>
        <v>#VALUE!</v>
      </c>
      <c r="AP53" s="222"/>
      <c r="AQ53" s="222" t="e">
        <f aca="false">H53*AO53</f>
        <v>#VALUE!</v>
      </c>
      <c r="AR53" s="222"/>
      <c r="AS53" s="174" t="e">
        <f aca="false">J53*$AO53</f>
        <v>#VALUE!</v>
      </c>
      <c r="AT53" s="174" t="e">
        <f aca="false">K53*$AO53</f>
        <v>#VALUE!</v>
      </c>
      <c r="AU53" s="174" t="e">
        <f aca="false">L53*$AO53</f>
        <v>#VALUE!</v>
      </c>
      <c r="AV53" s="174"/>
      <c r="AW53" s="174"/>
      <c r="AY53" s="220"/>
      <c r="AZ53" s="220"/>
      <c r="BA53" s="223"/>
      <c r="BC53" s="220"/>
      <c r="BE53" s="206"/>
    </row>
    <row r="54" customFormat="false" ht="12.75" hidden="false" customHeight="false" outlineLevel="0" collapsed="false">
      <c r="A54" s="167" t="e">
        <f aca="false">([1]!edate,A53,1)</f>
        <v>#VALUE!</v>
      </c>
      <c r="B54" s="201" t="e">
        <f aca="false">A55-A54</f>
        <v>#VALUE!</v>
      </c>
      <c r="C54" s="202" t="e">
        <f aca="false">IF(Control!$F$18="Physical",Model!A55+24,Model!A55)</f>
        <v>#VALUE!</v>
      </c>
      <c r="E54" s="203" t="e">
        <f aca="false">IF($A54&lt;End_Date,IF(Control!$C$20="Flat",Control!$C$21,VLOOKUP(Model!$A54,Euro!$B$29:$D$182,3)),0)</f>
        <v>#VALUE!</v>
      </c>
      <c r="F54" s="203" t="e">
        <f aca="false">E54*B54</f>
        <v>#VALUE!</v>
      </c>
      <c r="H54" s="204" t="e">
        <f aca="false">IF(Control!$C$27="Mid",VLOOKUP($A54,CurveFetch!$D$8:$F$367,3),VLOOKUP($A54,Euro!$B$29:$I$182,8))</f>
        <v>#VALUE!</v>
      </c>
      <c r="I54" s="204"/>
      <c r="J54" s="204" t="e">
        <f aca="false">IF($J$4="Mid",VLOOKUP($A54,Curve_Fetch,VLOOKUP(Control!$AJ$10,Control!$AI$11:$AK$22,3)),VLOOKUP($A54,Euro!$B$29:$M$182,12))</f>
        <v>#VALUE!</v>
      </c>
      <c r="K54" s="205" t="e">
        <f aca="false">IF(Control!$F$18="Physical",IF($K$4="Mid",VLOOKUP($A54,Curve_Fetch,VLOOKUP(Control!$AJ$10,Control!$AI$11:$AL$22,4)),VLOOKUP($A54,Euro!$B$29:$Q$182,16)),0)</f>
        <v>#VALUE!</v>
      </c>
      <c r="L54" s="204" t="e">
        <f aca="false">SUM(J54:K54)</f>
        <v>#VALUE!</v>
      </c>
      <c r="M54" s="204"/>
      <c r="N54" s="206" t="e">
        <f aca="false">L54+H54</f>
        <v>#VALUE!</v>
      </c>
      <c r="O54" s="206" t="e">
        <f aca="false">N54+Control!$C$39</f>
        <v>#VALUE!</v>
      </c>
      <c r="P54" s="207" t="e">
        <f aca="false">VLOOKUP($A54,CurveFetch!$D$8:$E$367,2)</f>
        <v>#VALUE!</v>
      </c>
      <c r="Q54" s="208" t="e">
        <f aca="false">P54</f>
        <v>#VALUE!</v>
      </c>
      <c r="R54" s="209" t="e">
        <f aca="true">A54-1-TODAY()</f>
        <v>#VALUE!</v>
      </c>
      <c r="S54" s="210" t="e">
        <f aca="false">VLOOKUP($A54,Curve_Fetch,VLOOKUP(Control!$AJ$10,Control!$AI$11:$AM$22,5))</f>
        <v>#VALUE!</v>
      </c>
      <c r="T54" s="211" t="e">
        <f aca="false">EURO(N54,O54,P54,Q54,S54,R54,IF(Control!$C$38="Call",1,0),0)</f>
        <v>#NAME?</v>
      </c>
      <c r="U54" s="174" t="e">
        <f aca="false">T54*B54*E54</f>
        <v>#VALUE!</v>
      </c>
      <c r="V54" s="212"/>
      <c r="W54" s="213"/>
      <c r="X54" s="213"/>
      <c r="Y54" s="213"/>
      <c r="AA54" s="214"/>
      <c r="AB54" s="214"/>
      <c r="AC54" s="215"/>
      <c r="AD54" s="216"/>
      <c r="AE54" s="217"/>
      <c r="AF54" s="218"/>
      <c r="AG54" s="219"/>
      <c r="AH54" s="220"/>
      <c r="AI54" s="174"/>
      <c r="AJ54" s="171" t="e">
        <f aca="false">Y54-L54</f>
        <v>#VALUE!</v>
      </c>
      <c r="AL54" s="208" t="e">
        <f aca="false">VLOOKUP($C54,Curve_Fetch,2)+Cost_of_Funds</f>
        <v>#VALUE!</v>
      </c>
      <c r="AM54" s="210" t="e">
        <f aca="false">1/(1+AL54/2)^(2*(C54-Val_Date)/365.25)</f>
        <v>#VALUE!</v>
      </c>
      <c r="AO54" s="222" t="e">
        <f aca="false">$B54*$E54*$AM54</f>
        <v>#VALUE!</v>
      </c>
      <c r="AP54" s="222"/>
      <c r="AQ54" s="222" t="e">
        <f aca="false">H54*AO54</f>
        <v>#VALUE!</v>
      </c>
      <c r="AR54" s="222"/>
      <c r="AS54" s="174" t="e">
        <f aca="false">J54*$AO54</f>
        <v>#VALUE!</v>
      </c>
      <c r="AT54" s="174" t="e">
        <f aca="false">K54*$AO54</f>
        <v>#VALUE!</v>
      </c>
      <c r="AU54" s="174" t="e">
        <f aca="false">L54*$AO54</f>
        <v>#VALUE!</v>
      </c>
      <c r="AV54" s="174"/>
      <c r="AW54" s="174"/>
      <c r="AY54" s="220"/>
      <c r="AZ54" s="220"/>
      <c r="BA54" s="223"/>
      <c r="BC54" s="220"/>
      <c r="BE54" s="206"/>
    </row>
    <row r="55" customFormat="false" ht="12.75" hidden="false" customHeight="false" outlineLevel="0" collapsed="false">
      <c r="A55" s="167" t="e">
        <f aca="false">([1]!edate,A54,1)</f>
        <v>#VALUE!</v>
      </c>
      <c r="B55" s="201" t="e">
        <f aca="false">A56-A55</f>
        <v>#VALUE!</v>
      </c>
      <c r="C55" s="202" t="e">
        <f aca="false">IF(Control!$F$18="Physical",Model!A56+24,Model!A56)</f>
        <v>#VALUE!</v>
      </c>
      <c r="E55" s="203" t="e">
        <f aca="false">IF($A55&lt;End_Date,IF(Control!$C$20="Flat",Control!$C$21,VLOOKUP(Model!$A55,Euro!$B$29:$D$182,3)),0)</f>
        <v>#VALUE!</v>
      </c>
      <c r="F55" s="203" t="e">
        <f aca="false">E55*B55</f>
        <v>#VALUE!</v>
      </c>
      <c r="H55" s="204" t="e">
        <f aca="false">IF(Control!$C$27="Mid",VLOOKUP($A55,CurveFetch!$D$8:$F$367,3),VLOOKUP($A55,Euro!$B$29:$I$182,8))</f>
        <v>#VALUE!</v>
      </c>
      <c r="I55" s="204"/>
      <c r="J55" s="204" t="e">
        <f aca="false">IF($J$4="Mid",VLOOKUP($A55,Curve_Fetch,VLOOKUP(Control!$AJ$10,Control!$AI$11:$AK$22,3)),VLOOKUP($A55,Euro!$B$29:$M$182,12))</f>
        <v>#VALUE!</v>
      </c>
      <c r="K55" s="205" t="e">
        <f aca="false">IF(Control!$F$18="Physical",IF($K$4="Mid",VLOOKUP($A55,Curve_Fetch,VLOOKUP(Control!$AJ$10,Control!$AI$11:$AL$22,4)),VLOOKUP($A55,Euro!$B$29:$Q$182,16)),0)</f>
        <v>#VALUE!</v>
      </c>
      <c r="L55" s="204" t="e">
        <f aca="false">SUM(J55:K55)</f>
        <v>#VALUE!</v>
      </c>
      <c r="M55" s="204"/>
      <c r="N55" s="206" t="e">
        <f aca="false">L55+H55</f>
        <v>#VALUE!</v>
      </c>
      <c r="O55" s="206" t="e">
        <f aca="false">N55+Control!$C$39</f>
        <v>#VALUE!</v>
      </c>
      <c r="P55" s="207" t="e">
        <f aca="false">VLOOKUP($A55,CurveFetch!$D$8:$E$367,2)</f>
        <v>#VALUE!</v>
      </c>
      <c r="Q55" s="208" t="e">
        <f aca="false">P55</f>
        <v>#VALUE!</v>
      </c>
      <c r="R55" s="209" t="e">
        <f aca="true">A55-1-TODAY()</f>
        <v>#VALUE!</v>
      </c>
      <c r="S55" s="210" t="e">
        <f aca="false">VLOOKUP($A55,Curve_Fetch,VLOOKUP(Control!$AJ$10,Control!$AI$11:$AM$22,5))</f>
        <v>#VALUE!</v>
      </c>
      <c r="T55" s="211" t="e">
        <f aca="false">EURO(N55,O55,P55,Q55,S55,R55,IF(Control!$C$38="Call",1,0),0)</f>
        <v>#NAME?</v>
      </c>
      <c r="U55" s="174" t="e">
        <f aca="false">T55*B55*E55</f>
        <v>#VALUE!</v>
      </c>
      <c r="V55" s="212"/>
      <c r="W55" s="213"/>
      <c r="X55" s="213"/>
      <c r="Y55" s="213"/>
      <c r="AA55" s="214"/>
      <c r="AB55" s="214"/>
      <c r="AC55" s="215"/>
      <c r="AD55" s="216"/>
      <c r="AE55" s="217"/>
      <c r="AF55" s="218"/>
      <c r="AG55" s="219"/>
      <c r="AH55" s="220"/>
      <c r="AI55" s="174"/>
      <c r="AJ55" s="171" t="e">
        <f aca="false">Y55-L55</f>
        <v>#VALUE!</v>
      </c>
      <c r="AL55" s="208" t="e">
        <f aca="false">VLOOKUP($C55,Curve_Fetch,2)+Cost_of_Funds</f>
        <v>#VALUE!</v>
      </c>
      <c r="AM55" s="210" t="e">
        <f aca="false">1/(1+AL55/2)^(2*(C55-Val_Date)/365.25)</f>
        <v>#VALUE!</v>
      </c>
      <c r="AO55" s="222" t="e">
        <f aca="false">$B55*$E55*$AM55</f>
        <v>#VALUE!</v>
      </c>
      <c r="AP55" s="222"/>
      <c r="AQ55" s="222" t="e">
        <f aca="false">H55*AO55</f>
        <v>#VALUE!</v>
      </c>
      <c r="AR55" s="222"/>
      <c r="AS55" s="174" t="e">
        <f aca="false">J55*$AO55</f>
        <v>#VALUE!</v>
      </c>
      <c r="AT55" s="174" t="e">
        <f aca="false">K55*$AO55</f>
        <v>#VALUE!</v>
      </c>
      <c r="AU55" s="174" t="e">
        <f aca="false">L55*$AO55</f>
        <v>#VALUE!</v>
      </c>
      <c r="AV55" s="174"/>
      <c r="AW55" s="174"/>
      <c r="AY55" s="220"/>
      <c r="AZ55" s="220"/>
      <c r="BA55" s="223"/>
      <c r="BC55" s="220"/>
      <c r="BE55" s="206"/>
    </row>
    <row r="56" customFormat="false" ht="12.75" hidden="false" customHeight="false" outlineLevel="0" collapsed="false">
      <c r="A56" s="167" t="e">
        <f aca="false">([1]!edate,A55,1)</f>
        <v>#VALUE!</v>
      </c>
      <c r="B56" s="201" t="e">
        <f aca="false">A57-A56</f>
        <v>#VALUE!</v>
      </c>
      <c r="C56" s="202" t="e">
        <f aca="false">IF(Control!$F$18="Physical",Model!A57+24,Model!A57)</f>
        <v>#VALUE!</v>
      </c>
      <c r="E56" s="203" t="e">
        <f aca="false">IF($A56&lt;End_Date,IF(Control!$C$20="Flat",Control!$C$21,VLOOKUP(Model!$A56,Euro!$B$29:$D$182,3)),0)</f>
        <v>#VALUE!</v>
      </c>
      <c r="F56" s="203" t="e">
        <f aca="false">E56*B56</f>
        <v>#VALUE!</v>
      </c>
      <c r="H56" s="204" t="e">
        <f aca="false">IF(Control!$C$27="Mid",VLOOKUP($A56,CurveFetch!$D$8:$F$367,3),VLOOKUP($A56,Euro!$B$29:$I$182,8))</f>
        <v>#VALUE!</v>
      </c>
      <c r="I56" s="204"/>
      <c r="J56" s="204" t="e">
        <f aca="false">IF($J$4="Mid",VLOOKUP($A56,Curve_Fetch,VLOOKUP(Control!$AJ$10,Control!$AI$11:$AK$22,3)),VLOOKUP($A56,Euro!$B$29:$M$182,12))</f>
        <v>#VALUE!</v>
      </c>
      <c r="K56" s="205" t="e">
        <f aca="false">IF(Control!$F$18="Physical",IF($K$4="Mid",VLOOKUP($A56,Curve_Fetch,VLOOKUP(Control!$AJ$10,Control!$AI$11:$AL$22,4)),VLOOKUP($A56,Euro!$B$29:$Q$182,16)),0)</f>
        <v>#VALUE!</v>
      </c>
      <c r="L56" s="204" t="e">
        <f aca="false">SUM(J56:K56)</f>
        <v>#VALUE!</v>
      </c>
      <c r="M56" s="204"/>
      <c r="N56" s="206" t="e">
        <f aca="false">L56+H56</f>
        <v>#VALUE!</v>
      </c>
      <c r="O56" s="206" t="e">
        <f aca="false">N56+Control!$C$39</f>
        <v>#VALUE!</v>
      </c>
      <c r="P56" s="207" t="e">
        <f aca="false">VLOOKUP($A56,CurveFetch!$D$8:$E$367,2)</f>
        <v>#VALUE!</v>
      </c>
      <c r="Q56" s="208" t="e">
        <f aca="false">P56</f>
        <v>#VALUE!</v>
      </c>
      <c r="R56" s="209" t="e">
        <f aca="true">A56-1-TODAY()</f>
        <v>#VALUE!</v>
      </c>
      <c r="S56" s="210" t="e">
        <f aca="false">VLOOKUP($A56,Curve_Fetch,VLOOKUP(Control!$AJ$10,Control!$AI$11:$AM$22,5))</f>
        <v>#VALUE!</v>
      </c>
      <c r="T56" s="211" t="e">
        <f aca="false">EURO(N56,O56,P56,Q56,S56,R56,IF(Control!$C$38="Call",1,0),0)</f>
        <v>#NAME?</v>
      </c>
      <c r="U56" s="174" t="e">
        <f aca="false">T56*B56*E56</f>
        <v>#VALUE!</v>
      </c>
      <c r="V56" s="212"/>
      <c r="W56" s="213"/>
      <c r="X56" s="213"/>
      <c r="Y56" s="213"/>
      <c r="AA56" s="214"/>
      <c r="AB56" s="214"/>
      <c r="AC56" s="215"/>
      <c r="AD56" s="216"/>
      <c r="AE56" s="217"/>
      <c r="AF56" s="218"/>
      <c r="AG56" s="219"/>
      <c r="AH56" s="220"/>
      <c r="AI56" s="174"/>
      <c r="AJ56" s="171" t="e">
        <f aca="false">Y56-L56</f>
        <v>#VALUE!</v>
      </c>
      <c r="AL56" s="208" t="e">
        <f aca="false">VLOOKUP($C56,Curve_Fetch,2)+Cost_of_Funds</f>
        <v>#VALUE!</v>
      </c>
      <c r="AM56" s="210" t="e">
        <f aca="false">1/(1+AL56/2)^(2*(C56-Val_Date)/365.25)</f>
        <v>#VALUE!</v>
      </c>
      <c r="AO56" s="222" t="e">
        <f aca="false">$B56*$E56*$AM56</f>
        <v>#VALUE!</v>
      </c>
      <c r="AP56" s="222"/>
      <c r="AQ56" s="222" t="e">
        <f aca="false">H56*AO56</f>
        <v>#VALUE!</v>
      </c>
      <c r="AR56" s="222"/>
      <c r="AS56" s="174" t="e">
        <f aca="false">J56*$AO56</f>
        <v>#VALUE!</v>
      </c>
      <c r="AT56" s="174" t="e">
        <f aca="false">K56*$AO56</f>
        <v>#VALUE!</v>
      </c>
      <c r="AU56" s="174" t="e">
        <f aca="false">L56*$AO56</f>
        <v>#VALUE!</v>
      </c>
      <c r="AV56" s="174"/>
      <c r="AW56" s="174"/>
      <c r="AY56" s="220"/>
      <c r="AZ56" s="220"/>
      <c r="BA56" s="223"/>
      <c r="BC56" s="220"/>
      <c r="BE56" s="206"/>
    </row>
    <row r="57" customFormat="false" ht="12.75" hidden="false" customHeight="false" outlineLevel="0" collapsed="false">
      <c r="A57" s="167" t="e">
        <f aca="false">([1]!edate,A56,1)</f>
        <v>#VALUE!</v>
      </c>
      <c r="B57" s="201" t="e">
        <f aca="false">A58-A57</f>
        <v>#VALUE!</v>
      </c>
      <c r="C57" s="202" t="e">
        <f aca="false">IF(Control!$F$18="Physical",Model!A58+24,Model!A58)</f>
        <v>#VALUE!</v>
      </c>
      <c r="E57" s="203" t="e">
        <f aca="false">IF($A57&lt;End_Date,IF(Control!$C$20="Flat",Control!$C$21,VLOOKUP(Model!$A57,Euro!$B$29:$D$182,3)),0)</f>
        <v>#VALUE!</v>
      </c>
      <c r="F57" s="203" t="e">
        <f aca="false">E57*B57</f>
        <v>#VALUE!</v>
      </c>
      <c r="H57" s="204" t="e">
        <f aca="false">IF(Control!$C$27="Mid",VLOOKUP($A57,CurveFetch!$D$8:$F$367,3),VLOOKUP($A57,Euro!$B$29:$I$182,8))</f>
        <v>#VALUE!</v>
      </c>
      <c r="I57" s="204"/>
      <c r="J57" s="204" t="e">
        <f aca="false">IF($J$4="Mid",VLOOKUP($A57,Curve_Fetch,VLOOKUP(Control!$AJ$10,Control!$AI$11:$AK$22,3)),VLOOKUP($A57,Euro!$B$29:$M$182,12))</f>
        <v>#VALUE!</v>
      </c>
      <c r="K57" s="205" t="e">
        <f aca="false">IF(Control!$F$18="Physical",IF($K$4="Mid",VLOOKUP($A57,Curve_Fetch,VLOOKUP(Control!$AJ$10,Control!$AI$11:$AL$22,4)),VLOOKUP($A57,Euro!$B$29:$Q$182,16)),0)</f>
        <v>#VALUE!</v>
      </c>
      <c r="L57" s="204" t="e">
        <f aca="false">SUM(J57:K57)</f>
        <v>#VALUE!</v>
      </c>
      <c r="M57" s="204"/>
      <c r="N57" s="206" t="e">
        <f aca="false">L57+H57</f>
        <v>#VALUE!</v>
      </c>
      <c r="O57" s="206" t="e">
        <f aca="false">N57+Control!$C$39</f>
        <v>#VALUE!</v>
      </c>
      <c r="P57" s="207" t="e">
        <f aca="false">VLOOKUP($A57,CurveFetch!$D$8:$E$367,2)</f>
        <v>#VALUE!</v>
      </c>
      <c r="Q57" s="208" t="e">
        <f aca="false">P57</f>
        <v>#VALUE!</v>
      </c>
      <c r="R57" s="209" t="e">
        <f aca="true">A57-1-TODAY()</f>
        <v>#VALUE!</v>
      </c>
      <c r="S57" s="210" t="e">
        <f aca="false">VLOOKUP($A57,Curve_Fetch,VLOOKUP(Control!$AJ$10,Control!$AI$11:$AM$22,5))</f>
        <v>#VALUE!</v>
      </c>
      <c r="T57" s="211" t="e">
        <f aca="false">EURO(N57,O57,P57,Q57,S57,R57,IF(Control!$C$38="Call",1,0),0)</f>
        <v>#NAME?</v>
      </c>
      <c r="U57" s="174" t="e">
        <f aca="false">T57*B57*E57</f>
        <v>#VALUE!</v>
      </c>
      <c r="V57" s="212"/>
      <c r="W57" s="213"/>
      <c r="X57" s="213"/>
      <c r="Y57" s="213"/>
      <c r="AA57" s="214"/>
      <c r="AB57" s="214"/>
      <c r="AC57" s="215"/>
      <c r="AD57" s="216"/>
      <c r="AE57" s="217"/>
      <c r="AF57" s="218"/>
      <c r="AG57" s="219"/>
      <c r="AH57" s="220"/>
      <c r="AI57" s="174"/>
      <c r="AJ57" s="171" t="e">
        <f aca="false">Y57-L57</f>
        <v>#VALUE!</v>
      </c>
      <c r="AL57" s="208" t="e">
        <f aca="false">VLOOKUP($C57,Curve_Fetch,2)+Cost_of_Funds</f>
        <v>#VALUE!</v>
      </c>
      <c r="AM57" s="210" t="e">
        <f aca="false">1/(1+AL57/2)^(2*(C57-Val_Date)/365.25)</f>
        <v>#VALUE!</v>
      </c>
      <c r="AO57" s="222" t="e">
        <f aca="false">$B57*$E57*$AM57</f>
        <v>#VALUE!</v>
      </c>
      <c r="AP57" s="222"/>
      <c r="AQ57" s="222" t="e">
        <f aca="false">H57*AO57</f>
        <v>#VALUE!</v>
      </c>
      <c r="AR57" s="222"/>
      <c r="AS57" s="174" t="e">
        <f aca="false">J57*$AO57</f>
        <v>#VALUE!</v>
      </c>
      <c r="AT57" s="174" t="e">
        <f aca="false">K57*$AO57</f>
        <v>#VALUE!</v>
      </c>
      <c r="AU57" s="174" t="e">
        <f aca="false">L57*$AO57</f>
        <v>#VALUE!</v>
      </c>
      <c r="AV57" s="174"/>
      <c r="AW57" s="174"/>
      <c r="AY57" s="220"/>
      <c r="AZ57" s="220"/>
      <c r="BA57" s="223"/>
      <c r="BC57" s="220"/>
      <c r="BE57" s="206"/>
    </row>
    <row r="58" customFormat="false" ht="12.75" hidden="false" customHeight="false" outlineLevel="0" collapsed="false">
      <c r="A58" s="167" t="e">
        <f aca="false">([1]!edate,A57,1)</f>
        <v>#VALUE!</v>
      </c>
      <c r="B58" s="201" t="e">
        <f aca="false">A59-A58</f>
        <v>#VALUE!</v>
      </c>
      <c r="C58" s="202" t="e">
        <f aca="false">IF(Control!$F$18="Physical",Model!A59+24,Model!A59)</f>
        <v>#VALUE!</v>
      </c>
      <c r="E58" s="203" t="e">
        <f aca="false">IF($A58&lt;End_Date,IF(Control!$C$20="Flat",Control!$C$21,VLOOKUP(Model!$A58,Euro!$B$29:$D$182,3)),0)</f>
        <v>#VALUE!</v>
      </c>
      <c r="F58" s="203" t="e">
        <f aca="false">E58*B58</f>
        <v>#VALUE!</v>
      </c>
      <c r="H58" s="204" t="e">
        <f aca="false">IF(Control!$C$27="Mid",VLOOKUP($A58,CurveFetch!$D$8:$F$367,3),VLOOKUP($A58,Euro!$B$29:$I$182,8))</f>
        <v>#VALUE!</v>
      </c>
      <c r="I58" s="204"/>
      <c r="J58" s="204" t="e">
        <f aca="false">IF($J$4="Mid",VLOOKUP($A58,Curve_Fetch,VLOOKUP(Control!$AJ$10,Control!$AI$11:$AK$22,3)),VLOOKUP($A58,Euro!$B$29:$M$182,12))</f>
        <v>#VALUE!</v>
      </c>
      <c r="K58" s="205" t="e">
        <f aca="false">IF(Control!$F$18="Physical",IF($K$4="Mid",VLOOKUP($A58,Curve_Fetch,VLOOKUP(Control!$AJ$10,Control!$AI$11:$AL$22,4)),VLOOKUP($A58,Euro!$B$29:$Q$182,16)),0)</f>
        <v>#VALUE!</v>
      </c>
      <c r="L58" s="204" t="e">
        <f aca="false">SUM(J58:K58)</f>
        <v>#VALUE!</v>
      </c>
      <c r="M58" s="204"/>
      <c r="N58" s="206" t="e">
        <f aca="false">L58+H58</f>
        <v>#VALUE!</v>
      </c>
      <c r="O58" s="206" t="e">
        <f aca="false">N58+Control!$C$39</f>
        <v>#VALUE!</v>
      </c>
      <c r="P58" s="207" t="e">
        <f aca="false">VLOOKUP($A58,CurveFetch!$D$8:$E$367,2)</f>
        <v>#VALUE!</v>
      </c>
      <c r="Q58" s="208" t="e">
        <f aca="false">P58</f>
        <v>#VALUE!</v>
      </c>
      <c r="R58" s="209" t="e">
        <f aca="true">A58-1-TODAY()</f>
        <v>#VALUE!</v>
      </c>
      <c r="S58" s="210" t="e">
        <f aca="false">VLOOKUP($A58,Curve_Fetch,VLOOKUP(Control!$AJ$10,Control!$AI$11:$AM$22,5))</f>
        <v>#VALUE!</v>
      </c>
      <c r="T58" s="211" t="e">
        <f aca="false">EURO(N58,O58,P58,Q58,S58,R58,IF(Control!$C$38="Call",1,0),0)</f>
        <v>#NAME?</v>
      </c>
      <c r="U58" s="174" t="e">
        <f aca="false">T58*B58*E58</f>
        <v>#VALUE!</v>
      </c>
      <c r="V58" s="212"/>
      <c r="W58" s="213"/>
      <c r="X58" s="213"/>
      <c r="Y58" s="213"/>
      <c r="AA58" s="214"/>
      <c r="AB58" s="214"/>
      <c r="AC58" s="215"/>
      <c r="AD58" s="216"/>
      <c r="AE58" s="217"/>
      <c r="AF58" s="218"/>
      <c r="AG58" s="219"/>
      <c r="AH58" s="220"/>
      <c r="AI58" s="174"/>
      <c r="AJ58" s="171" t="e">
        <f aca="false">Y58-L58</f>
        <v>#VALUE!</v>
      </c>
      <c r="AL58" s="208" t="e">
        <f aca="false">VLOOKUP($C58,Curve_Fetch,2)+Cost_of_Funds</f>
        <v>#VALUE!</v>
      </c>
      <c r="AM58" s="210" t="e">
        <f aca="false">1/(1+AL58/2)^(2*(C58-Val_Date)/365.25)</f>
        <v>#VALUE!</v>
      </c>
      <c r="AO58" s="222" t="e">
        <f aca="false">$B58*$E58*$AM58</f>
        <v>#VALUE!</v>
      </c>
      <c r="AP58" s="222"/>
      <c r="AQ58" s="222" t="e">
        <f aca="false">H58*AO58</f>
        <v>#VALUE!</v>
      </c>
      <c r="AR58" s="222"/>
      <c r="AS58" s="174" t="e">
        <f aca="false">J58*$AO58</f>
        <v>#VALUE!</v>
      </c>
      <c r="AT58" s="174" t="e">
        <f aca="false">K58*$AO58</f>
        <v>#VALUE!</v>
      </c>
      <c r="AU58" s="174" t="e">
        <f aca="false">L58*$AO58</f>
        <v>#VALUE!</v>
      </c>
      <c r="AV58" s="174"/>
      <c r="AW58" s="174"/>
      <c r="AY58" s="220"/>
      <c r="AZ58" s="220"/>
      <c r="BA58" s="223"/>
      <c r="BC58" s="220"/>
      <c r="BE58" s="206"/>
    </row>
    <row r="59" customFormat="false" ht="12.75" hidden="false" customHeight="false" outlineLevel="0" collapsed="false">
      <c r="A59" s="167" t="e">
        <f aca="false">([1]!edate,A58,1)</f>
        <v>#VALUE!</v>
      </c>
      <c r="B59" s="201" t="e">
        <f aca="false">A60-A59</f>
        <v>#VALUE!</v>
      </c>
      <c r="C59" s="202" t="e">
        <f aca="false">IF(Control!$F$18="Physical",Model!A60+24,Model!A60)</f>
        <v>#VALUE!</v>
      </c>
      <c r="E59" s="203" t="e">
        <f aca="false">IF($A59&lt;End_Date,IF(Control!$C$20="Flat",Control!$C$21,VLOOKUP(Model!$A59,Euro!$B$29:$D$182,3)),0)</f>
        <v>#VALUE!</v>
      </c>
      <c r="F59" s="203" t="e">
        <f aca="false">E59*B59</f>
        <v>#VALUE!</v>
      </c>
      <c r="H59" s="204" t="e">
        <f aca="false">IF(Control!$C$27="Mid",VLOOKUP($A59,CurveFetch!$D$8:$F$367,3),VLOOKUP($A59,Euro!$B$29:$I$182,8))</f>
        <v>#VALUE!</v>
      </c>
      <c r="I59" s="204"/>
      <c r="J59" s="204" t="e">
        <f aca="false">IF($J$4="Mid",VLOOKUP($A59,Curve_Fetch,VLOOKUP(Control!$AJ$10,Control!$AI$11:$AK$22,3)),VLOOKUP($A59,Euro!$B$29:$M$182,12))</f>
        <v>#VALUE!</v>
      </c>
      <c r="K59" s="205" t="e">
        <f aca="false">IF(Control!$F$18="Physical",IF($K$4="Mid",VLOOKUP($A59,Curve_Fetch,VLOOKUP(Control!$AJ$10,Control!$AI$11:$AL$22,4)),VLOOKUP($A59,Euro!$B$29:$Q$182,16)),0)</f>
        <v>#VALUE!</v>
      </c>
      <c r="L59" s="204" t="e">
        <f aca="false">SUM(J59:K59)</f>
        <v>#VALUE!</v>
      </c>
      <c r="M59" s="204"/>
      <c r="N59" s="206" t="e">
        <f aca="false">L59+H59</f>
        <v>#VALUE!</v>
      </c>
      <c r="O59" s="206" t="e">
        <f aca="false">N59+Control!$C$39</f>
        <v>#VALUE!</v>
      </c>
      <c r="P59" s="207" t="e">
        <f aca="false">VLOOKUP($A59,CurveFetch!$D$8:$E$367,2)</f>
        <v>#VALUE!</v>
      </c>
      <c r="Q59" s="208" t="e">
        <f aca="false">P59</f>
        <v>#VALUE!</v>
      </c>
      <c r="R59" s="209" t="e">
        <f aca="true">A59-1-TODAY()</f>
        <v>#VALUE!</v>
      </c>
      <c r="S59" s="210" t="e">
        <f aca="false">VLOOKUP($A59,Curve_Fetch,VLOOKUP(Control!$AJ$10,Control!$AI$11:$AM$22,5))</f>
        <v>#VALUE!</v>
      </c>
      <c r="T59" s="211" t="e">
        <f aca="false">EURO(N59,O59,P59,Q59,S59,R59,IF(Control!$C$38="Call",1,0),0)</f>
        <v>#NAME?</v>
      </c>
      <c r="U59" s="174" t="e">
        <f aca="false">T59*B59*E59</f>
        <v>#VALUE!</v>
      </c>
      <c r="V59" s="212"/>
      <c r="W59" s="213"/>
      <c r="X59" s="213"/>
      <c r="Y59" s="213"/>
      <c r="AA59" s="214"/>
      <c r="AB59" s="214"/>
      <c r="AC59" s="215"/>
      <c r="AD59" s="216"/>
      <c r="AE59" s="217"/>
      <c r="AF59" s="218"/>
      <c r="AG59" s="219"/>
      <c r="AH59" s="220"/>
      <c r="AI59" s="174"/>
      <c r="AJ59" s="171" t="e">
        <f aca="false">Y59-L59</f>
        <v>#VALUE!</v>
      </c>
      <c r="AL59" s="208" t="e">
        <f aca="false">VLOOKUP($C59,Curve_Fetch,2)+Cost_of_Funds</f>
        <v>#VALUE!</v>
      </c>
      <c r="AM59" s="210" t="e">
        <f aca="false">1/(1+AL59/2)^(2*(C59-Val_Date)/365.25)</f>
        <v>#VALUE!</v>
      </c>
      <c r="AO59" s="222" t="e">
        <f aca="false">$B59*$E59*$AM59</f>
        <v>#VALUE!</v>
      </c>
      <c r="AP59" s="222"/>
      <c r="AQ59" s="222" t="e">
        <f aca="false">H59*AO59</f>
        <v>#VALUE!</v>
      </c>
      <c r="AR59" s="222"/>
      <c r="AS59" s="174" t="e">
        <f aca="false">J59*$AO59</f>
        <v>#VALUE!</v>
      </c>
      <c r="AT59" s="174" t="e">
        <f aca="false">K59*$AO59</f>
        <v>#VALUE!</v>
      </c>
      <c r="AU59" s="174" t="e">
        <f aca="false">L59*$AO59</f>
        <v>#VALUE!</v>
      </c>
      <c r="AV59" s="174"/>
      <c r="AW59" s="174"/>
      <c r="AY59" s="220"/>
      <c r="AZ59" s="220"/>
      <c r="BA59" s="223"/>
      <c r="BC59" s="220"/>
      <c r="BE59" s="206"/>
    </row>
    <row r="60" customFormat="false" ht="12.75" hidden="false" customHeight="false" outlineLevel="0" collapsed="false">
      <c r="A60" s="167" t="e">
        <f aca="false">([1]!edate,A59,1)</f>
        <v>#VALUE!</v>
      </c>
      <c r="B60" s="201" t="e">
        <f aca="false">A61-A60</f>
        <v>#VALUE!</v>
      </c>
      <c r="C60" s="202" t="e">
        <f aca="false">IF(Control!$F$18="Physical",Model!A61+24,Model!A61)</f>
        <v>#VALUE!</v>
      </c>
      <c r="E60" s="203" t="e">
        <f aca="false">IF($A60&lt;End_Date,IF(Control!$C$20="Flat",Control!$C$21,VLOOKUP(Model!$A60,Euro!$B$29:$D$182,3)),0)</f>
        <v>#VALUE!</v>
      </c>
      <c r="F60" s="203" t="e">
        <f aca="false">E60*B60</f>
        <v>#VALUE!</v>
      </c>
      <c r="H60" s="204" t="e">
        <f aca="false">IF(Control!$C$27="Mid",VLOOKUP($A60,CurveFetch!$D$8:$F$367,3),VLOOKUP($A60,Euro!$B$29:$I$182,8))</f>
        <v>#VALUE!</v>
      </c>
      <c r="I60" s="204"/>
      <c r="J60" s="204" t="e">
        <f aca="false">IF($J$4="Mid",VLOOKUP($A60,Curve_Fetch,VLOOKUP(Control!$AJ$10,Control!$AI$11:$AK$22,3)),VLOOKUP($A60,Euro!$B$29:$M$182,12))</f>
        <v>#VALUE!</v>
      </c>
      <c r="K60" s="205" t="e">
        <f aca="false">IF(Control!$F$18="Physical",IF($K$4="Mid",VLOOKUP($A60,Curve_Fetch,VLOOKUP(Control!$AJ$10,Control!$AI$11:$AL$22,4)),VLOOKUP($A60,Euro!$B$29:$Q$182,16)),0)</f>
        <v>#VALUE!</v>
      </c>
      <c r="L60" s="204" t="e">
        <f aca="false">SUM(J60:K60)</f>
        <v>#VALUE!</v>
      </c>
      <c r="M60" s="204"/>
      <c r="N60" s="206" t="e">
        <f aca="false">L60+H60</f>
        <v>#VALUE!</v>
      </c>
      <c r="O60" s="206" t="e">
        <f aca="false">N60+Control!$C$39</f>
        <v>#VALUE!</v>
      </c>
      <c r="P60" s="207" t="e">
        <f aca="false">VLOOKUP($A60,CurveFetch!$D$8:$E$367,2)</f>
        <v>#VALUE!</v>
      </c>
      <c r="Q60" s="208" t="e">
        <f aca="false">P60</f>
        <v>#VALUE!</v>
      </c>
      <c r="R60" s="209" t="e">
        <f aca="true">A60-1-TODAY()</f>
        <v>#VALUE!</v>
      </c>
      <c r="S60" s="210" t="e">
        <f aca="false">VLOOKUP($A60,Curve_Fetch,VLOOKUP(Control!$AJ$10,Control!$AI$11:$AM$22,5))</f>
        <v>#VALUE!</v>
      </c>
      <c r="T60" s="211" t="e">
        <f aca="false">EURO(N60,O60,P60,Q60,S60,R60,IF(Control!$C$38="Call",1,0),0)</f>
        <v>#NAME?</v>
      </c>
      <c r="U60" s="174" t="e">
        <f aca="false">T60*B60*E60</f>
        <v>#VALUE!</v>
      </c>
      <c r="V60" s="212"/>
      <c r="W60" s="213"/>
      <c r="X60" s="213"/>
      <c r="Y60" s="213"/>
      <c r="AA60" s="214"/>
      <c r="AB60" s="214"/>
      <c r="AC60" s="215"/>
      <c r="AD60" s="216"/>
      <c r="AE60" s="217"/>
      <c r="AF60" s="218"/>
      <c r="AG60" s="219"/>
      <c r="AH60" s="220"/>
      <c r="AI60" s="174"/>
      <c r="AJ60" s="171" t="e">
        <f aca="false">Y60-L60</f>
        <v>#VALUE!</v>
      </c>
      <c r="AL60" s="208" t="e">
        <f aca="false">VLOOKUP($C60,Curve_Fetch,2)+Cost_of_Funds</f>
        <v>#VALUE!</v>
      </c>
      <c r="AM60" s="210" t="e">
        <f aca="false">1/(1+AL60/2)^(2*(C60-Val_Date)/365.25)</f>
        <v>#VALUE!</v>
      </c>
      <c r="AO60" s="222" t="e">
        <f aca="false">$B60*$E60*$AM60</f>
        <v>#VALUE!</v>
      </c>
      <c r="AP60" s="222"/>
      <c r="AQ60" s="222" t="e">
        <f aca="false">H60*AO60</f>
        <v>#VALUE!</v>
      </c>
      <c r="AR60" s="222"/>
      <c r="AS60" s="174" t="e">
        <f aca="false">J60*$AO60</f>
        <v>#VALUE!</v>
      </c>
      <c r="AT60" s="174" t="e">
        <f aca="false">K60*$AO60</f>
        <v>#VALUE!</v>
      </c>
      <c r="AU60" s="174" t="e">
        <f aca="false">L60*$AO60</f>
        <v>#VALUE!</v>
      </c>
      <c r="AV60" s="174"/>
      <c r="AW60" s="174"/>
      <c r="AY60" s="220"/>
      <c r="AZ60" s="220"/>
      <c r="BA60" s="223"/>
      <c r="BC60" s="220"/>
      <c r="BE60" s="206"/>
    </row>
    <row r="61" customFormat="false" ht="12.75" hidden="false" customHeight="false" outlineLevel="0" collapsed="false">
      <c r="A61" s="167" t="e">
        <f aca="false">([1]!edate,A60,1)</f>
        <v>#VALUE!</v>
      </c>
      <c r="B61" s="201" t="e">
        <f aca="false">A62-A61</f>
        <v>#VALUE!</v>
      </c>
      <c r="C61" s="202" t="e">
        <f aca="false">IF(Control!$F$18="Physical",Model!A62+24,Model!A62)</f>
        <v>#VALUE!</v>
      </c>
      <c r="E61" s="203" t="e">
        <f aca="false">IF($A61&lt;End_Date,IF(Control!$C$20="Flat",Control!$C$21,VLOOKUP(Model!$A61,Euro!$B$29:$D$182,3)),0)</f>
        <v>#VALUE!</v>
      </c>
      <c r="F61" s="203" t="e">
        <f aca="false">E61*B61</f>
        <v>#VALUE!</v>
      </c>
      <c r="H61" s="204" t="e">
        <f aca="false">IF(Control!$C$27="Mid",VLOOKUP($A61,CurveFetch!$D$8:$F$367,3),VLOOKUP($A61,Euro!$B$29:$I$182,8))</f>
        <v>#VALUE!</v>
      </c>
      <c r="I61" s="204"/>
      <c r="J61" s="204" t="e">
        <f aca="false">IF($J$4="Mid",VLOOKUP($A61,Curve_Fetch,VLOOKUP(Control!$AJ$10,Control!$AI$11:$AK$22,3)),VLOOKUP($A61,Euro!$B$29:$M$182,12))</f>
        <v>#VALUE!</v>
      </c>
      <c r="K61" s="205" t="e">
        <f aca="false">IF(Control!$F$18="Physical",IF($K$4="Mid",VLOOKUP($A61,Curve_Fetch,VLOOKUP(Control!$AJ$10,Control!$AI$11:$AL$22,4)),VLOOKUP($A61,Euro!$B$29:$Q$182,16)),0)</f>
        <v>#VALUE!</v>
      </c>
      <c r="L61" s="204" t="e">
        <f aca="false">SUM(J61:K61)</f>
        <v>#VALUE!</v>
      </c>
      <c r="M61" s="204"/>
      <c r="N61" s="206" t="e">
        <f aca="false">L61+H61</f>
        <v>#VALUE!</v>
      </c>
      <c r="O61" s="206" t="e">
        <f aca="false">N61+Control!$C$39</f>
        <v>#VALUE!</v>
      </c>
      <c r="P61" s="207" t="e">
        <f aca="false">VLOOKUP($A61,CurveFetch!$D$8:$E$367,2)</f>
        <v>#VALUE!</v>
      </c>
      <c r="Q61" s="208" t="e">
        <f aca="false">P61</f>
        <v>#VALUE!</v>
      </c>
      <c r="R61" s="209" t="e">
        <f aca="true">A61-1-TODAY()</f>
        <v>#VALUE!</v>
      </c>
      <c r="S61" s="210" t="e">
        <f aca="false">VLOOKUP($A61,Curve_Fetch,VLOOKUP(Control!$AJ$10,Control!$AI$11:$AM$22,5))</f>
        <v>#VALUE!</v>
      </c>
      <c r="T61" s="211" t="e">
        <f aca="false">EURO(N61,O61,P61,Q61,S61,R61,IF(Control!$C$38="Call",1,0),0)</f>
        <v>#NAME?</v>
      </c>
      <c r="U61" s="174" t="e">
        <f aca="false">T61*B61*E61</f>
        <v>#VALUE!</v>
      </c>
      <c r="V61" s="212"/>
      <c r="W61" s="213"/>
      <c r="X61" s="213"/>
      <c r="Y61" s="213"/>
      <c r="AA61" s="214"/>
      <c r="AB61" s="214"/>
      <c r="AC61" s="215"/>
      <c r="AD61" s="216"/>
      <c r="AE61" s="217"/>
      <c r="AF61" s="218"/>
      <c r="AG61" s="219"/>
      <c r="AH61" s="220"/>
      <c r="AI61" s="174"/>
      <c r="AJ61" s="171" t="e">
        <f aca="false">Y61-L61</f>
        <v>#VALUE!</v>
      </c>
      <c r="AL61" s="208" t="e">
        <f aca="false">VLOOKUP($C61,Curve_Fetch,2)+Cost_of_Funds</f>
        <v>#VALUE!</v>
      </c>
      <c r="AM61" s="210" t="e">
        <f aca="false">1/(1+AL61/2)^(2*(C61-Val_Date)/365.25)</f>
        <v>#VALUE!</v>
      </c>
      <c r="AO61" s="222" t="e">
        <f aca="false">$B61*$E61*$AM61</f>
        <v>#VALUE!</v>
      </c>
      <c r="AP61" s="222"/>
      <c r="AQ61" s="222" t="e">
        <f aca="false">H61*AO61</f>
        <v>#VALUE!</v>
      </c>
      <c r="AR61" s="222"/>
      <c r="AS61" s="174" t="e">
        <f aca="false">J61*$AO61</f>
        <v>#VALUE!</v>
      </c>
      <c r="AT61" s="174" t="e">
        <f aca="false">K61*$AO61</f>
        <v>#VALUE!</v>
      </c>
      <c r="AU61" s="174" t="e">
        <f aca="false">L61*$AO61</f>
        <v>#VALUE!</v>
      </c>
      <c r="AV61" s="174"/>
      <c r="AW61" s="174"/>
      <c r="AY61" s="220"/>
      <c r="AZ61" s="220"/>
      <c r="BA61" s="223"/>
      <c r="BC61" s="220"/>
      <c r="BE61" s="206"/>
    </row>
    <row r="62" customFormat="false" ht="12.75" hidden="false" customHeight="false" outlineLevel="0" collapsed="false">
      <c r="A62" s="167" t="e">
        <f aca="false">([1]!edate,A61,1)</f>
        <v>#VALUE!</v>
      </c>
      <c r="B62" s="201" t="e">
        <f aca="false">A63-A62</f>
        <v>#VALUE!</v>
      </c>
      <c r="C62" s="202" t="e">
        <f aca="false">IF(Control!$F$18="Physical",Model!A63+24,Model!A63)</f>
        <v>#VALUE!</v>
      </c>
      <c r="E62" s="203" t="e">
        <f aca="false">IF($A62&lt;End_Date,IF(Control!$C$20="Flat",Control!$C$21,VLOOKUP(Model!$A62,Euro!$B$29:$D$182,3)),0)</f>
        <v>#VALUE!</v>
      </c>
      <c r="F62" s="203" t="e">
        <f aca="false">E62*B62</f>
        <v>#VALUE!</v>
      </c>
      <c r="H62" s="204" t="e">
        <f aca="false">IF(Control!$C$27="Mid",VLOOKUP($A62,CurveFetch!$D$8:$F$367,3),VLOOKUP($A62,Euro!$B$29:$I$182,8))</f>
        <v>#VALUE!</v>
      </c>
      <c r="I62" s="204"/>
      <c r="J62" s="204" t="e">
        <f aca="false">IF($J$4="Mid",VLOOKUP($A62,Curve_Fetch,VLOOKUP(Control!$AJ$10,Control!$AI$11:$AK$22,3)),VLOOKUP($A62,Euro!$B$29:$M$182,12))</f>
        <v>#VALUE!</v>
      </c>
      <c r="K62" s="205" t="e">
        <f aca="false">IF(Control!$F$18="Physical",IF($K$4="Mid",VLOOKUP($A62,Curve_Fetch,VLOOKUP(Control!$AJ$10,Control!$AI$11:$AL$22,4)),VLOOKUP($A62,Euro!$B$29:$Q$182,16)),0)</f>
        <v>#VALUE!</v>
      </c>
      <c r="L62" s="204" t="e">
        <f aca="false">SUM(J62:K62)</f>
        <v>#VALUE!</v>
      </c>
      <c r="M62" s="204"/>
      <c r="N62" s="206" t="e">
        <f aca="false">L62+H62</f>
        <v>#VALUE!</v>
      </c>
      <c r="O62" s="206" t="e">
        <f aca="false">N62+Control!$C$39</f>
        <v>#VALUE!</v>
      </c>
      <c r="P62" s="207" t="e">
        <f aca="false">VLOOKUP($A62,CurveFetch!$D$8:$E$367,2)</f>
        <v>#VALUE!</v>
      </c>
      <c r="Q62" s="208" t="e">
        <f aca="false">P62</f>
        <v>#VALUE!</v>
      </c>
      <c r="R62" s="209" t="e">
        <f aca="true">A62-1-TODAY()</f>
        <v>#VALUE!</v>
      </c>
      <c r="S62" s="210" t="e">
        <f aca="false">VLOOKUP($A62,Curve_Fetch,VLOOKUP(Control!$AJ$10,Control!$AI$11:$AM$22,5))</f>
        <v>#VALUE!</v>
      </c>
      <c r="T62" s="211" t="e">
        <f aca="false">EURO(N62,O62,P62,Q62,S62,R62,IF(Control!$C$38="Call",1,0),0)</f>
        <v>#NAME?</v>
      </c>
      <c r="U62" s="174" t="e">
        <f aca="false">T62*B62*E62</f>
        <v>#VALUE!</v>
      </c>
      <c r="V62" s="212"/>
      <c r="W62" s="213"/>
      <c r="X62" s="213"/>
      <c r="Y62" s="213"/>
      <c r="AA62" s="214"/>
      <c r="AB62" s="214"/>
      <c r="AC62" s="215"/>
      <c r="AD62" s="216"/>
      <c r="AE62" s="217"/>
      <c r="AF62" s="218"/>
      <c r="AG62" s="219"/>
      <c r="AH62" s="220"/>
      <c r="AI62" s="174"/>
      <c r="AJ62" s="171" t="e">
        <f aca="false">Y62-L62</f>
        <v>#VALUE!</v>
      </c>
      <c r="AL62" s="208" t="e">
        <f aca="false">VLOOKUP($C62,Curve_Fetch,2)+Cost_of_Funds</f>
        <v>#VALUE!</v>
      </c>
      <c r="AM62" s="210" t="e">
        <f aca="false">1/(1+AL62/2)^(2*(C62-Val_Date)/365.25)</f>
        <v>#VALUE!</v>
      </c>
      <c r="AO62" s="222" t="e">
        <f aca="false">$B62*$E62*$AM62</f>
        <v>#VALUE!</v>
      </c>
      <c r="AP62" s="222"/>
      <c r="AQ62" s="222" t="e">
        <f aca="false">H62*AO62</f>
        <v>#VALUE!</v>
      </c>
      <c r="AR62" s="222"/>
      <c r="AS62" s="174" t="e">
        <f aca="false">J62*$AO62</f>
        <v>#VALUE!</v>
      </c>
      <c r="AT62" s="174" t="e">
        <f aca="false">K62*$AO62</f>
        <v>#VALUE!</v>
      </c>
      <c r="AU62" s="174" t="e">
        <f aca="false">L62*$AO62</f>
        <v>#VALUE!</v>
      </c>
      <c r="AV62" s="174"/>
      <c r="AW62" s="174"/>
      <c r="AY62" s="220"/>
      <c r="AZ62" s="220"/>
      <c r="BA62" s="223"/>
      <c r="BC62" s="220"/>
      <c r="BE62" s="206"/>
    </row>
    <row r="63" customFormat="false" ht="12.75" hidden="false" customHeight="false" outlineLevel="0" collapsed="false">
      <c r="A63" s="167" t="e">
        <f aca="false">([1]!edate,A62,1)</f>
        <v>#VALUE!</v>
      </c>
      <c r="B63" s="201" t="e">
        <f aca="false">A64-A63</f>
        <v>#VALUE!</v>
      </c>
      <c r="C63" s="202" t="e">
        <f aca="false">IF(Control!$F$18="Physical",Model!A64+24,Model!A64)</f>
        <v>#VALUE!</v>
      </c>
      <c r="E63" s="203" t="e">
        <f aca="false">IF($A63&lt;End_Date,IF(Control!$C$20="Flat",Control!$C$21,VLOOKUP(Model!$A63,Euro!$B$29:$D$182,3)),0)</f>
        <v>#VALUE!</v>
      </c>
      <c r="F63" s="203" t="e">
        <f aca="false">E63*B63</f>
        <v>#VALUE!</v>
      </c>
      <c r="H63" s="204" t="e">
        <f aca="false">IF(Control!$C$27="Mid",VLOOKUP($A63,CurveFetch!$D$8:$F$367,3),VLOOKUP($A63,Euro!$B$29:$I$182,8))</f>
        <v>#VALUE!</v>
      </c>
      <c r="I63" s="204"/>
      <c r="J63" s="204" t="e">
        <f aca="false">IF($J$4="Mid",VLOOKUP($A63,Curve_Fetch,VLOOKUP(Control!$AJ$10,Control!$AI$11:$AK$22,3)),VLOOKUP($A63,Euro!$B$29:$M$182,12))</f>
        <v>#VALUE!</v>
      </c>
      <c r="K63" s="205" t="e">
        <f aca="false">IF(Control!$F$18="Physical",IF($K$4="Mid",VLOOKUP($A63,Curve_Fetch,VLOOKUP(Control!$AJ$10,Control!$AI$11:$AL$22,4)),VLOOKUP($A63,Euro!$B$29:$Q$182,16)),0)</f>
        <v>#VALUE!</v>
      </c>
      <c r="L63" s="204" t="e">
        <f aca="false">SUM(J63:K63)</f>
        <v>#VALUE!</v>
      </c>
      <c r="M63" s="204"/>
      <c r="N63" s="206" t="e">
        <f aca="false">L63+H63</f>
        <v>#VALUE!</v>
      </c>
      <c r="O63" s="206" t="e">
        <f aca="false">N63+Control!$C$39</f>
        <v>#VALUE!</v>
      </c>
      <c r="P63" s="207" t="e">
        <f aca="false">VLOOKUP($A63,CurveFetch!$D$8:$E$367,2)</f>
        <v>#VALUE!</v>
      </c>
      <c r="Q63" s="208" t="e">
        <f aca="false">P63</f>
        <v>#VALUE!</v>
      </c>
      <c r="R63" s="209" t="e">
        <f aca="true">A63-1-TODAY()</f>
        <v>#VALUE!</v>
      </c>
      <c r="S63" s="210" t="e">
        <f aca="false">VLOOKUP($A63,Curve_Fetch,VLOOKUP(Control!$AJ$10,Control!$AI$11:$AM$22,5))</f>
        <v>#VALUE!</v>
      </c>
      <c r="T63" s="211" t="e">
        <f aca="false">EURO(N63,O63,P63,Q63,S63,R63,IF(Control!$C$38="Call",1,0),0)</f>
        <v>#NAME?</v>
      </c>
      <c r="U63" s="174" t="e">
        <f aca="false">T63*B63*E63</f>
        <v>#VALUE!</v>
      </c>
      <c r="V63" s="212"/>
      <c r="W63" s="213"/>
      <c r="X63" s="213"/>
      <c r="Y63" s="213"/>
      <c r="AA63" s="214"/>
      <c r="AB63" s="214"/>
      <c r="AC63" s="215"/>
      <c r="AD63" s="216"/>
      <c r="AE63" s="217"/>
      <c r="AF63" s="218"/>
      <c r="AG63" s="219"/>
      <c r="AH63" s="220"/>
      <c r="AI63" s="174"/>
      <c r="AJ63" s="171" t="e">
        <f aca="false">Y63-L63</f>
        <v>#VALUE!</v>
      </c>
      <c r="AL63" s="208" t="e">
        <f aca="false">VLOOKUP($C63,Curve_Fetch,2)+Cost_of_Funds</f>
        <v>#VALUE!</v>
      </c>
      <c r="AM63" s="210" t="e">
        <f aca="false">1/(1+AL63/2)^(2*(C63-Val_Date)/365.25)</f>
        <v>#VALUE!</v>
      </c>
      <c r="AO63" s="222" t="e">
        <f aca="false">$B63*$E63*$AM63</f>
        <v>#VALUE!</v>
      </c>
      <c r="AP63" s="222"/>
      <c r="AQ63" s="222" t="e">
        <f aca="false">H63*AO63</f>
        <v>#VALUE!</v>
      </c>
      <c r="AR63" s="222"/>
      <c r="AS63" s="174" t="e">
        <f aca="false">J63*$AO63</f>
        <v>#VALUE!</v>
      </c>
      <c r="AT63" s="174" t="e">
        <f aca="false">K63*$AO63</f>
        <v>#VALUE!</v>
      </c>
      <c r="AU63" s="174" t="e">
        <f aca="false">L63*$AO63</f>
        <v>#VALUE!</v>
      </c>
      <c r="AV63" s="174"/>
      <c r="AW63" s="174"/>
      <c r="AY63" s="220"/>
      <c r="AZ63" s="220"/>
      <c r="BA63" s="223"/>
      <c r="BC63" s="220"/>
      <c r="BE63" s="206"/>
    </row>
    <row r="64" customFormat="false" ht="12.75" hidden="false" customHeight="false" outlineLevel="0" collapsed="false">
      <c r="A64" s="167" t="e">
        <f aca="false">([1]!edate,A63,1)</f>
        <v>#VALUE!</v>
      </c>
      <c r="B64" s="201" t="e">
        <f aca="false">A65-A64</f>
        <v>#VALUE!</v>
      </c>
      <c r="C64" s="202" t="e">
        <f aca="false">IF(Control!$F$18="Physical",Model!A65+24,Model!A65)</f>
        <v>#VALUE!</v>
      </c>
      <c r="E64" s="203" t="e">
        <f aca="false">IF($A64&lt;End_Date,IF(Control!$C$20="Flat",Control!$C$21,VLOOKUP(Model!$A64,Euro!$B$29:$D$182,3)),0)</f>
        <v>#VALUE!</v>
      </c>
      <c r="F64" s="203" t="e">
        <f aca="false">E64*B64</f>
        <v>#VALUE!</v>
      </c>
      <c r="H64" s="204" t="e">
        <f aca="false">IF(Control!$C$27="Mid",VLOOKUP($A64,CurveFetch!$D$8:$F$367,3),VLOOKUP($A64,Euro!$B$29:$I$182,8))</f>
        <v>#VALUE!</v>
      </c>
      <c r="I64" s="204"/>
      <c r="J64" s="204" t="e">
        <f aca="false">IF($J$4="Mid",VLOOKUP($A64,Curve_Fetch,VLOOKUP(Control!$AJ$10,Control!$AI$11:$AK$22,3)),VLOOKUP($A64,Euro!$B$29:$M$182,12))</f>
        <v>#VALUE!</v>
      </c>
      <c r="K64" s="205" t="e">
        <f aca="false">IF(Control!$F$18="Physical",IF($K$4="Mid",VLOOKUP($A64,Curve_Fetch,VLOOKUP(Control!$AJ$10,Control!$AI$11:$AL$22,4)),VLOOKUP($A64,Euro!$B$29:$Q$182,16)),0)</f>
        <v>#VALUE!</v>
      </c>
      <c r="L64" s="204" t="e">
        <f aca="false">SUM(J64:K64)</f>
        <v>#VALUE!</v>
      </c>
      <c r="M64" s="204"/>
      <c r="N64" s="206" t="e">
        <f aca="false">L64+H64</f>
        <v>#VALUE!</v>
      </c>
      <c r="O64" s="206" t="e">
        <f aca="false">N64+Control!$C$39</f>
        <v>#VALUE!</v>
      </c>
      <c r="P64" s="207" t="e">
        <f aca="false">VLOOKUP($A64,CurveFetch!$D$8:$E$367,2)</f>
        <v>#VALUE!</v>
      </c>
      <c r="Q64" s="208" t="e">
        <f aca="false">P64</f>
        <v>#VALUE!</v>
      </c>
      <c r="R64" s="209" t="e">
        <f aca="true">A64-1-TODAY()</f>
        <v>#VALUE!</v>
      </c>
      <c r="S64" s="210" t="e">
        <f aca="false">VLOOKUP($A64,Curve_Fetch,VLOOKUP(Control!$AJ$10,Control!$AI$11:$AM$22,5))</f>
        <v>#VALUE!</v>
      </c>
      <c r="T64" s="211" t="e">
        <f aca="false">EURO(N64,O64,P64,Q64,S64,R64,IF(Control!$C$38="Call",1,0),0)</f>
        <v>#NAME?</v>
      </c>
      <c r="U64" s="174" t="e">
        <f aca="false">T64*B64*E64</f>
        <v>#VALUE!</v>
      </c>
      <c r="V64" s="212"/>
      <c r="W64" s="213"/>
      <c r="X64" s="213"/>
      <c r="Y64" s="213"/>
      <c r="AA64" s="214"/>
      <c r="AB64" s="214"/>
      <c r="AC64" s="215"/>
      <c r="AD64" s="216"/>
      <c r="AE64" s="217"/>
      <c r="AF64" s="218"/>
      <c r="AG64" s="219"/>
      <c r="AH64" s="220"/>
      <c r="AI64" s="174"/>
      <c r="AJ64" s="171" t="e">
        <f aca="false">Y64-L64</f>
        <v>#VALUE!</v>
      </c>
      <c r="AL64" s="208" t="e">
        <f aca="false">VLOOKUP($C64,Curve_Fetch,2)+Cost_of_Funds</f>
        <v>#VALUE!</v>
      </c>
      <c r="AM64" s="210" t="e">
        <f aca="false">1/(1+AL64/2)^(2*(C64-Val_Date)/365.25)</f>
        <v>#VALUE!</v>
      </c>
      <c r="AO64" s="222" t="e">
        <f aca="false">$B64*$E64*$AM64</f>
        <v>#VALUE!</v>
      </c>
      <c r="AP64" s="222"/>
      <c r="AQ64" s="222" t="e">
        <f aca="false">H64*AO64</f>
        <v>#VALUE!</v>
      </c>
      <c r="AR64" s="222"/>
      <c r="AS64" s="174" t="e">
        <f aca="false">J64*$AO64</f>
        <v>#VALUE!</v>
      </c>
      <c r="AT64" s="174" t="e">
        <f aca="false">K64*$AO64</f>
        <v>#VALUE!</v>
      </c>
      <c r="AU64" s="174" t="e">
        <f aca="false">L64*$AO64</f>
        <v>#VALUE!</v>
      </c>
      <c r="AV64" s="174"/>
      <c r="AW64" s="174"/>
      <c r="AY64" s="220"/>
      <c r="AZ64" s="220"/>
      <c r="BA64" s="223"/>
      <c r="BC64" s="220"/>
      <c r="BE64" s="206"/>
    </row>
    <row r="65" customFormat="false" ht="12.75" hidden="false" customHeight="false" outlineLevel="0" collapsed="false">
      <c r="A65" s="167" t="e">
        <f aca="false">([1]!edate,A64,1)</f>
        <v>#VALUE!</v>
      </c>
      <c r="B65" s="201" t="e">
        <f aca="false">A66-A65</f>
        <v>#VALUE!</v>
      </c>
      <c r="C65" s="202" t="e">
        <f aca="false">IF(Control!$F$18="Physical",Model!A66+24,Model!A66)</f>
        <v>#VALUE!</v>
      </c>
      <c r="E65" s="203" t="e">
        <f aca="false">IF($A65&lt;End_Date,IF(Control!$C$20="Flat",Control!$C$21,VLOOKUP(Model!$A65,Euro!$B$29:$D$182,3)),0)</f>
        <v>#VALUE!</v>
      </c>
      <c r="F65" s="203" t="e">
        <f aca="false">E65*B65</f>
        <v>#VALUE!</v>
      </c>
      <c r="H65" s="204" t="e">
        <f aca="false">IF(Control!$C$27="Mid",VLOOKUP($A65,CurveFetch!$D$8:$F$367,3),VLOOKUP($A65,Euro!$B$29:$I$182,8))</f>
        <v>#VALUE!</v>
      </c>
      <c r="I65" s="204"/>
      <c r="J65" s="204" t="e">
        <f aca="false">IF($J$4="Mid",VLOOKUP($A65,Curve_Fetch,VLOOKUP(Control!$AJ$10,Control!$AI$11:$AK$22,3)),VLOOKUP($A65,Euro!$B$29:$M$182,12))</f>
        <v>#VALUE!</v>
      </c>
      <c r="K65" s="205" t="e">
        <f aca="false">IF(Control!$F$18="Physical",IF($K$4="Mid",VLOOKUP($A65,Curve_Fetch,VLOOKUP(Control!$AJ$10,Control!$AI$11:$AL$22,4)),VLOOKUP($A65,Euro!$B$29:$Q$182,16)),0)</f>
        <v>#VALUE!</v>
      </c>
      <c r="L65" s="204" t="e">
        <f aca="false">SUM(J65:K65)</f>
        <v>#VALUE!</v>
      </c>
      <c r="M65" s="204"/>
      <c r="N65" s="206" t="e">
        <f aca="false">L65+H65</f>
        <v>#VALUE!</v>
      </c>
      <c r="O65" s="206" t="e">
        <f aca="false">N65+Control!$C$39</f>
        <v>#VALUE!</v>
      </c>
      <c r="P65" s="207" t="e">
        <f aca="false">VLOOKUP($A65,CurveFetch!$D$8:$E$367,2)</f>
        <v>#VALUE!</v>
      </c>
      <c r="Q65" s="208" t="e">
        <f aca="false">P65</f>
        <v>#VALUE!</v>
      </c>
      <c r="R65" s="209" t="e">
        <f aca="true">A65-1-TODAY()</f>
        <v>#VALUE!</v>
      </c>
      <c r="S65" s="210" t="e">
        <f aca="false">VLOOKUP($A65,Curve_Fetch,VLOOKUP(Control!$AJ$10,Control!$AI$11:$AM$22,5))</f>
        <v>#VALUE!</v>
      </c>
      <c r="T65" s="211" t="e">
        <f aca="false">EURO(N65,O65,P65,Q65,S65,R65,IF(Control!$C$38="Call",1,0),0)</f>
        <v>#NAME?</v>
      </c>
      <c r="U65" s="174" t="e">
        <f aca="false">T65*B65*E65</f>
        <v>#VALUE!</v>
      </c>
      <c r="V65" s="212"/>
      <c r="W65" s="213"/>
      <c r="X65" s="213"/>
      <c r="Y65" s="213"/>
      <c r="AA65" s="214"/>
      <c r="AB65" s="214"/>
      <c r="AC65" s="215"/>
      <c r="AD65" s="216"/>
      <c r="AE65" s="217"/>
      <c r="AF65" s="218"/>
      <c r="AG65" s="219"/>
      <c r="AH65" s="220"/>
      <c r="AI65" s="174"/>
      <c r="AJ65" s="171" t="e">
        <f aca="false">Y65-L65</f>
        <v>#VALUE!</v>
      </c>
      <c r="AL65" s="208" t="e">
        <f aca="false">VLOOKUP($C65,Curve_Fetch,2)+Cost_of_Funds</f>
        <v>#VALUE!</v>
      </c>
      <c r="AM65" s="210" t="e">
        <f aca="false">1/(1+AL65/2)^(2*(C65-Val_Date)/365.25)</f>
        <v>#VALUE!</v>
      </c>
      <c r="AO65" s="222" t="e">
        <f aca="false">$B65*$E65*$AM65</f>
        <v>#VALUE!</v>
      </c>
      <c r="AP65" s="222"/>
      <c r="AQ65" s="222" t="e">
        <f aca="false">H65*AO65</f>
        <v>#VALUE!</v>
      </c>
      <c r="AR65" s="222"/>
      <c r="AS65" s="174" t="e">
        <f aca="false">J65*$AO65</f>
        <v>#VALUE!</v>
      </c>
      <c r="AT65" s="174" t="e">
        <f aca="false">K65*$AO65</f>
        <v>#VALUE!</v>
      </c>
      <c r="AU65" s="174" t="e">
        <f aca="false">L65*$AO65</f>
        <v>#VALUE!</v>
      </c>
      <c r="AV65" s="174"/>
      <c r="AW65" s="174"/>
      <c r="AY65" s="220"/>
      <c r="AZ65" s="220"/>
      <c r="BA65" s="223"/>
      <c r="BC65" s="220"/>
      <c r="BE65" s="206"/>
    </row>
    <row r="66" customFormat="false" ht="12.75" hidden="false" customHeight="false" outlineLevel="0" collapsed="false">
      <c r="A66" s="167" t="e">
        <f aca="false">([1]!edate,A65,1)</f>
        <v>#VALUE!</v>
      </c>
      <c r="B66" s="201" t="e">
        <f aca="false">A67-A66</f>
        <v>#VALUE!</v>
      </c>
      <c r="C66" s="202" t="e">
        <f aca="false">IF(Control!$F$18="Physical",Model!A67+24,Model!A67)</f>
        <v>#VALUE!</v>
      </c>
      <c r="E66" s="203" t="e">
        <f aca="false">IF($A66&lt;End_Date,IF(Control!$C$20="Flat",Control!$C$21,VLOOKUP(Model!$A66,Euro!$B$29:$D$182,3)),0)</f>
        <v>#VALUE!</v>
      </c>
      <c r="F66" s="203" t="e">
        <f aca="false">E66*B66</f>
        <v>#VALUE!</v>
      </c>
      <c r="H66" s="204" t="e">
        <f aca="false">IF(Control!$C$27="Mid",VLOOKUP($A66,CurveFetch!$D$8:$F$367,3),VLOOKUP($A66,Euro!$B$29:$I$182,8))</f>
        <v>#VALUE!</v>
      </c>
      <c r="I66" s="204"/>
      <c r="J66" s="204" t="e">
        <f aca="false">IF($J$4="Mid",VLOOKUP($A66,Curve_Fetch,VLOOKUP(Control!$AJ$10,Control!$AI$11:$AK$22,3)),VLOOKUP($A66,Euro!$B$29:$M$182,12))</f>
        <v>#VALUE!</v>
      </c>
      <c r="K66" s="205" t="e">
        <f aca="false">IF(Control!$F$18="Physical",IF($K$4="Mid",VLOOKUP($A66,Curve_Fetch,VLOOKUP(Control!$AJ$10,Control!$AI$11:$AL$22,4)),VLOOKUP($A66,Euro!$B$29:$Q$182,16)),0)</f>
        <v>#VALUE!</v>
      </c>
      <c r="L66" s="204" t="e">
        <f aca="false">SUM(J66:K66)</f>
        <v>#VALUE!</v>
      </c>
      <c r="M66" s="204"/>
      <c r="N66" s="206" t="e">
        <f aca="false">L66+H66</f>
        <v>#VALUE!</v>
      </c>
      <c r="O66" s="206" t="e">
        <f aca="false">N66+Control!$C$39</f>
        <v>#VALUE!</v>
      </c>
      <c r="P66" s="207" t="e">
        <f aca="false">VLOOKUP($A66,CurveFetch!$D$8:$E$367,2)</f>
        <v>#VALUE!</v>
      </c>
      <c r="Q66" s="208" t="e">
        <f aca="false">P66</f>
        <v>#VALUE!</v>
      </c>
      <c r="R66" s="209" t="e">
        <f aca="true">A66-1-TODAY()</f>
        <v>#VALUE!</v>
      </c>
      <c r="S66" s="210" t="e">
        <f aca="false">VLOOKUP($A66,Curve_Fetch,VLOOKUP(Control!$AJ$10,Control!$AI$11:$AM$22,5))</f>
        <v>#VALUE!</v>
      </c>
      <c r="T66" s="211" t="e">
        <f aca="false">EURO(N66,O66,P66,Q66,S66,R66,IF(Control!$C$38="Call",1,0),0)</f>
        <v>#NAME?</v>
      </c>
      <c r="U66" s="174" t="e">
        <f aca="false">T66*B66*E66</f>
        <v>#VALUE!</v>
      </c>
      <c r="V66" s="212"/>
      <c r="W66" s="213"/>
      <c r="X66" s="213"/>
      <c r="Y66" s="213"/>
      <c r="AA66" s="214"/>
      <c r="AB66" s="214"/>
      <c r="AC66" s="215"/>
      <c r="AD66" s="216"/>
      <c r="AE66" s="217"/>
      <c r="AF66" s="218"/>
      <c r="AG66" s="219"/>
      <c r="AH66" s="220"/>
      <c r="AI66" s="174"/>
      <c r="AJ66" s="171" t="e">
        <f aca="false">Y66-L66</f>
        <v>#VALUE!</v>
      </c>
      <c r="AL66" s="208" t="e">
        <f aca="false">VLOOKUP($C66,Curve_Fetch,2)+Cost_of_Funds</f>
        <v>#VALUE!</v>
      </c>
      <c r="AM66" s="210" t="e">
        <f aca="false">1/(1+AL66/2)^(2*(C66-Val_Date)/365.25)</f>
        <v>#VALUE!</v>
      </c>
      <c r="AO66" s="222" t="e">
        <f aca="false">$B66*$E66*$AM66</f>
        <v>#VALUE!</v>
      </c>
      <c r="AP66" s="222"/>
      <c r="AQ66" s="222" t="e">
        <f aca="false">H66*AO66</f>
        <v>#VALUE!</v>
      </c>
      <c r="AR66" s="222"/>
      <c r="AS66" s="174" t="e">
        <f aca="false">J66*$AO66</f>
        <v>#VALUE!</v>
      </c>
      <c r="AT66" s="174" t="e">
        <f aca="false">K66*$AO66</f>
        <v>#VALUE!</v>
      </c>
      <c r="AU66" s="174" t="e">
        <f aca="false">L66*$AO66</f>
        <v>#VALUE!</v>
      </c>
      <c r="AV66" s="174"/>
      <c r="AW66" s="174"/>
      <c r="AY66" s="220"/>
      <c r="AZ66" s="220"/>
      <c r="BA66" s="223"/>
      <c r="BC66" s="220"/>
      <c r="BE66" s="206"/>
    </row>
    <row r="67" customFormat="false" ht="12.75" hidden="false" customHeight="false" outlineLevel="0" collapsed="false">
      <c r="A67" s="167" t="e">
        <f aca="false">([1]!edate,A66,1)</f>
        <v>#VALUE!</v>
      </c>
      <c r="B67" s="201" t="e">
        <f aca="false">A68-A67</f>
        <v>#VALUE!</v>
      </c>
      <c r="C67" s="202" t="e">
        <f aca="false">IF(Control!$F$18="Physical",Model!A68+24,Model!A68)</f>
        <v>#VALUE!</v>
      </c>
      <c r="E67" s="203" t="e">
        <f aca="false">IF($A67&lt;End_Date,IF(Control!$C$20="Flat",Control!$C$21,VLOOKUP(Model!$A67,Euro!$B$29:$D$182,3)),0)</f>
        <v>#VALUE!</v>
      </c>
      <c r="F67" s="203" t="e">
        <f aca="false">E67*B67</f>
        <v>#VALUE!</v>
      </c>
      <c r="H67" s="204" t="e">
        <f aca="false">IF(Control!$C$27="Mid",VLOOKUP($A67,CurveFetch!$D$8:$F$367,3),VLOOKUP($A67,Euro!$B$29:$I$182,8))</f>
        <v>#VALUE!</v>
      </c>
      <c r="I67" s="204"/>
      <c r="J67" s="204" t="e">
        <f aca="false">IF($J$4="Mid",VLOOKUP($A67,Curve_Fetch,VLOOKUP(Control!$AJ$10,Control!$AI$11:$AK$22,3)),VLOOKUP($A67,Euro!$B$29:$M$182,12))</f>
        <v>#VALUE!</v>
      </c>
      <c r="K67" s="205" t="e">
        <f aca="false">IF(Control!$F$18="Physical",IF($K$4="Mid",VLOOKUP($A67,Curve_Fetch,VLOOKUP(Control!$AJ$10,Control!$AI$11:$AL$22,4)),VLOOKUP($A67,Euro!$B$29:$Q$182,16)),0)</f>
        <v>#VALUE!</v>
      </c>
      <c r="L67" s="204" t="e">
        <f aca="false">SUM(J67:K67)</f>
        <v>#VALUE!</v>
      </c>
      <c r="M67" s="204"/>
      <c r="N67" s="206" t="e">
        <f aca="false">L67+H67</f>
        <v>#VALUE!</v>
      </c>
      <c r="O67" s="206" t="e">
        <f aca="false">N67+Control!$C$39</f>
        <v>#VALUE!</v>
      </c>
      <c r="P67" s="207" t="e">
        <f aca="false">VLOOKUP($A67,CurveFetch!$D$8:$E$367,2)</f>
        <v>#VALUE!</v>
      </c>
      <c r="Q67" s="208" t="e">
        <f aca="false">P67</f>
        <v>#VALUE!</v>
      </c>
      <c r="R67" s="209" t="e">
        <f aca="true">A67-1-TODAY()</f>
        <v>#VALUE!</v>
      </c>
      <c r="S67" s="210" t="e">
        <f aca="false">VLOOKUP($A67,Curve_Fetch,VLOOKUP(Control!$AJ$10,Control!$AI$11:$AM$22,5))</f>
        <v>#VALUE!</v>
      </c>
      <c r="T67" s="211" t="e">
        <f aca="false">EURO(N67,O67,P67,Q67,S67,R67,IF(Control!$C$38="Call",1,0),0)</f>
        <v>#NAME?</v>
      </c>
      <c r="U67" s="174" t="e">
        <f aca="false">T67*B67*E67</f>
        <v>#VALUE!</v>
      </c>
      <c r="V67" s="212"/>
      <c r="W67" s="213"/>
      <c r="X67" s="213"/>
      <c r="Y67" s="213"/>
      <c r="AA67" s="214"/>
      <c r="AB67" s="214"/>
      <c r="AC67" s="215"/>
      <c r="AD67" s="216"/>
      <c r="AE67" s="217"/>
      <c r="AF67" s="218"/>
      <c r="AG67" s="219"/>
      <c r="AH67" s="220"/>
      <c r="AI67" s="174"/>
      <c r="AJ67" s="171" t="e">
        <f aca="false">Y67-L67</f>
        <v>#VALUE!</v>
      </c>
      <c r="AL67" s="208" t="e">
        <f aca="false">VLOOKUP($C67,Curve_Fetch,2)+Cost_of_Funds</f>
        <v>#VALUE!</v>
      </c>
      <c r="AM67" s="210" t="e">
        <f aca="false">1/(1+AL67/2)^(2*(C67-Val_Date)/365.25)</f>
        <v>#VALUE!</v>
      </c>
      <c r="AO67" s="222" t="e">
        <f aca="false">$B67*$E67*$AM67</f>
        <v>#VALUE!</v>
      </c>
      <c r="AP67" s="222"/>
      <c r="AQ67" s="222" t="e">
        <f aca="false">H67*AO67</f>
        <v>#VALUE!</v>
      </c>
      <c r="AR67" s="222"/>
      <c r="AS67" s="174" t="e">
        <f aca="false">J67*$AO67</f>
        <v>#VALUE!</v>
      </c>
      <c r="AT67" s="174" t="e">
        <f aca="false">K67*$AO67</f>
        <v>#VALUE!</v>
      </c>
      <c r="AU67" s="174" t="e">
        <f aca="false">L67*$AO67</f>
        <v>#VALUE!</v>
      </c>
      <c r="AV67" s="174"/>
      <c r="AW67" s="174"/>
      <c r="AY67" s="220"/>
      <c r="AZ67" s="220"/>
      <c r="BA67" s="223"/>
      <c r="BC67" s="220"/>
      <c r="BE67" s="206"/>
    </row>
    <row r="68" customFormat="false" ht="12.75" hidden="false" customHeight="false" outlineLevel="0" collapsed="false">
      <c r="A68" s="167" t="e">
        <f aca="false">([1]!edate,A67,1)</f>
        <v>#VALUE!</v>
      </c>
      <c r="B68" s="201" t="e">
        <f aca="false">A69-A68</f>
        <v>#VALUE!</v>
      </c>
      <c r="C68" s="202" t="e">
        <f aca="false">IF(Control!$F$18="Physical",Model!A69+24,Model!A69)</f>
        <v>#VALUE!</v>
      </c>
      <c r="E68" s="203" t="e">
        <f aca="false">IF($A68&lt;End_Date,IF(Control!$C$20="Flat",Control!$C$21,VLOOKUP(Model!$A68,Euro!$B$29:$D$182,3)),0)</f>
        <v>#VALUE!</v>
      </c>
      <c r="F68" s="203" t="e">
        <f aca="false">E68*B68</f>
        <v>#VALUE!</v>
      </c>
      <c r="H68" s="204" t="e">
        <f aca="false">IF(Control!$C$27="Mid",VLOOKUP($A68,CurveFetch!$D$8:$F$367,3),VLOOKUP($A68,Euro!$B$29:$I$182,8))</f>
        <v>#VALUE!</v>
      </c>
      <c r="I68" s="204"/>
      <c r="J68" s="204" t="e">
        <f aca="false">IF($J$4="Mid",VLOOKUP($A68,Curve_Fetch,VLOOKUP(Control!$AJ$10,Control!$AI$11:$AK$22,3)),VLOOKUP($A68,Euro!$B$29:$M$182,12))</f>
        <v>#VALUE!</v>
      </c>
      <c r="K68" s="205" t="e">
        <f aca="false">IF(Control!$F$18="Physical",IF($K$4="Mid",VLOOKUP($A68,Curve_Fetch,VLOOKUP(Control!$AJ$10,Control!$AI$11:$AL$22,4)),VLOOKUP($A68,Euro!$B$29:$Q$182,16)),0)</f>
        <v>#VALUE!</v>
      </c>
      <c r="L68" s="204" t="e">
        <f aca="false">SUM(J68:K68)</f>
        <v>#VALUE!</v>
      </c>
      <c r="M68" s="204"/>
      <c r="N68" s="206" t="e">
        <f aca="false">L68+H68</f>
        <v>#VALUE!</v>
      </c>
      <c r="O68" s="206" t="e">
        <f aca="false">N68+Control!$C$39</f>
        <v>#VALUE!</v>
      </c>
      <c r="P68" s="207" t="e">
        <f aca="false">VLOOKUP($A68,CurveFetch!$D$8:$E$367,2)</f>
        <v>#VALUE!</v>
      </c>
      <c r="Q68" s="208" t="e">
        <f aca="false">P68</f>
        <v>#VALUE!</v>
      </c>
      <c r="R68" s="209" t="e">
        <f aca="true">A68-1-TODAY()</f>
        <v>#VALUE!</v>
      </c>
      <c r="S68" s="210" t="e">
        <f aca="false">VLOOKUP($A68,Curve_Fetch,VLOOKUP(Control!$AJ$10,Control!$AI$11:$AM$22,5))</f>
        <v>#VALUE!</v>
      </c>
      <c r="T68" s="211" t="e">
        <f aca="false">EURO(N68,O68,P68,Q68,S68,R68,IF(Control!$C$38="Call",1,0),0)</f>
        <v>#NAME?</v>
      </c>
      <c r="U68" s="174" t="e">
        <f aca="false">T68*B68*E68</f>
        <v>#VALUE!</v>
      </c>
      <c r="V68" s="212"/>
      <c r="W68" s="213"/>
      <c r="X68" s="213"/>
      <c r="Y68" s="213"/>
      <c r="AA68" s="214"/>
      <c r="AB68" s="214"/>
      <c r="AC68" s="215"/>
      <c r="AD68" s="216"/>
      <c r="AE68" s="217"/>
      <c r="AF68" s="218"/>
      <c r="AG68" s="219"/>
      <c r="AH68" s="220"/>
      <c r="AI68" s="174"/>
      <c r="AJ68" s="171" t="e">
        <f aca="false">Y68-L68</f>
        <v>#VALUE!</v>
      </c>
      <c r="AL68" s="208" t="e">
        <f aca="false">VLOOKUP($C68,Curve_Fetch,2)+Cost_of_Funds</f>
        <v>#VALUE!</v>
      </c>
      <c r="AM68" s="210" t="e">
        <f aca="false">1/(1+AL68/2)^(2*(C68-Val_Date)/365.25)</f>
        <v>#VALUE!</v>
      </c>
      <c r="AO68" s="222" t="e">
        <f aca="false">$B68*$E68*$AM68</f>
        <v>#VALUE!</v>
      </c>
      <c r="AP68" s="222"/>
      <c r="AQ68" s="222" t="e">
        <f aca="false">H68*AO68</f>
        <v>#VALUE!</v>
      </c>
      <c r="AR68" s="222"/>
      <c r="AS68" s="174" t="e">
        <f aca="false">J68*$AO68</f>
        <v>#VALUE!</v>
      </c>
      <c r="AT68" s="174" t="e">
        <f aca="false">K68*$AO68</f>
        <v>#VALUE!</v>
      </c>
      <c r="AU68" s="174" t="e">
        <f aca="false">L68*$AO68</f>
        <v>#VALUE!</v>
      </c>
      <c r="AV68" s="174"/>
      <c r="AW68" s="174"/>
      <c r="AY68" s="220"/>
      <c r="AZ68" s="220"/>
      <c r="BA68" s="223"/>
      <c r="BC68" s="220"/>
      <c r="BE68" s="206"/>
    </row>
    <row r="69" customFormat="false" ht="12.75" hidden="false" customHeight="false" outlineLevel="0" collapsed="false">
      <c r="A69" s="167" t="e">
        <f aca="false">([1]!edate,A68,1)</f>
        <v>#VALUE!</v>
      </c>
      <c r="B69" s="201" t="e">
        <f aca="false">A70-A69</f>
        <v>#VALUE!</v>
      </c>
      <c r="C69" s="202" t="e">
        <f aca="false">IF(Control!$F$18="Physical",Model!A70+24,Model!A70)</f>
        <v>#VALUE!</v>
      </c>
      <c r="E69" s="203" t="e">
        <f aca="false">IF($A69&lt;End_Date,IF(Control!$C$20="Flat",Control!$C$21,VLOOKUP(Model!$A69,Euro!$B$29:$D$182,3)),0)</f>
        <v>#VALUE!</v>
      </c>
      <c r="F69" s="203" t="e">
        <f aca="false">E69*B69</f>
        <v>#VALUE!</v>
      </c>
      <c r="H69" s="204" t="e">
        <f aca="false">IF(Control!$C$27="Mid",VLOOKUP($A69,CurveFetch!$D$8:$F$367,3),VLOOKUP($A69,Euro!$B$29:$I$182,8))</f>
        <v>#VALUE!</v>
      </c>
      <c r="I69" s="204"/>
      <c r="J69" s="204" t="e">
        <f aca="false">IF($J$4="Mid",VLOOKUP($A69,Curve_Fetch,VLOOKUP(Control!$AJ$10,Control!$AI$11:$AK$22,3)),VLOOKUP($A69,Euro!$B$29:$M$182,12))</f>
        <v>#VALUE!</v>
      </c>
      <c r="K69" s="205" t="e">
        <f aca="false">IF(Control!$F$18="Physical",IF($K$4="Mid",VLOOKUP($A69,Curve_Fetch,VLOOKUP(Control!$AJ$10,Control!$AI$11:$AL$22,4)),VLOOKUP($A69,Euro!$B$29:$Q$182,16)),0)</f>
        <v>#VALUE!</v>
      </c>
      <c r="L69" s="204" t="e">
        <f aca="false">SUM(J69:K69)</f>
        <v>#VALUE!</v>
      </c>
      <c r="M69" s="204"/>
      <c r="N69" s="206" t="e">
        <f aca="false">L69+H69</f>
        <v>#VALUE!</v>
      </c>
      <c r="O69" s="206" t="e">
        <f aca="false">N69+Control!$C$39</f>
        <v>#VALUE!</v>
      </c>
      <c r="P69" s="207" t="e">
        <f aca="false">VLOOKUP($A69,CurveFetch!$D$8:$E$367,2)</f>
        <v>#VALUE!</v>
      </c>
      <c r="Q69" s="208" t="e">
        <f aca="false">P69</f>
        <v>#VALUE!</v>
      </c>
      <c r="R69" s="209" t="e">
        <f aca="true">A69-1-TODAY()</f>
        <v>#VALUE!</v>
      </c>
      <c r="S69" s="210" t="e">
        <f aca="false">VLOOKUP($A69,Curve_Fetch,VLOOKUP(Control!$AJ$10,Control!$AI$11:$AM$22,5))</f>
        <v>#VALUE!</v>
      </c>
      <c r="T69" s="211" t="e">
        <f aca="false">EURO(N69,O69,P69,Q69,S69,R69,IF(Control!$C$38="Call",1,0),0)</f>
        <v>#NAME?</v>
      </c>
      <c r="U69" s="174" t="e">
        <f aca="false">T69*B69*E69</f>
        <v>#VALUE!</v>
      </c>
      <c r="V69" s="212"/>
      <c r="W69" s="213"/>
      <c r="X69" s="213"/>
      <c r="Y69" s="213"/>
      <c r="AA69" s="214"/>
      <c r="AB69" s="214"/>
      <c r="AC69" s="215"/>
      <c r="AD69" s="216"/>
      <c r="AE69" s="217"/>
      <c r="AF69" s="218"/>
      <c r="AG69" s="219"/>
      <c r="AH69" s="220"/>
      <c r="AI69" s="174"/>
      <c r="AJ69" s="171" t="e">
        <f aca="false">Y69-L69</f>
        <v>#VALUE!</v>
      </c>
      <c r="AL69" s="208" t="e">
        <f aca="false">VLOOKUP($C69,Curve_Fetch,2)+Cost_of_Funds</f>
        <v>#VALUE!</v>
      </c>
      <c r="AM69" s="210" t="e">
        <f aca="false">1/(1+AL69/2)^(2*(C69-Val_Date)/365.25)</f>
        <v>#VALUE!</v>
      </c>
      <c r="AO69" s="222" t="e">
        <f aca="false">$B69*$E69*$AM69</f>
        <v>#VALUE!</v>
      </c>
      <c r="AP69" s="222"/>
      <c r="AQ69" s="222" t="e">
        <f aca="false">H69*AO69</f>
        <v>#VALUE!</v>
      </c>
      <c r="AR69" s="222"/>
      <c r="AS69" s="174" t="e">
        <f aca="false">J69*$AO69</f>
        <v>#VALUE!</v>
      </c>
      <c r="AT69" s="174" t="e">
        <f aca="false">K69*$AO69</f>
        <v>#VALUE!</v>
      </c>
      <c r="AU69" s="174" t="e">
        <f aca="false">L69*$AO69</f>
        <v>#VALUE!</v>
      </c>
      <c r="AV69" s="174"/>
      <c r="AW69" s="174"/>
      <c r="AY69" s="220"/>
      <c r="AZ69" s="220"/>
      <c r="BA69" s="223"/>
      <c r="BC69" s="220"/>
      <c r="BE69" s="206"/>
    </row>
    <row r="70" customFormat="false" ht="12.75" hidden="false" customHeight="false" outlineLevel="0" collapsed="false">
      <c r="A70" s="167" t="e">
        <f aca="false">([1]!edate,A69,1)</f>
        <v>#VALUE!</v>
      </c>
      <c r="B70" s="201" t="e">
        <f aca="false">A71-A70</f>
        <v>#VALUE!</v>
      </c>
      <c r="C70" s="202" t="e">
        <f aca="false">IF(Control!$F$18="Physical",Model!A71+24,Model!A71)</f>
        <v>#VALUE!</v>
      </c>
      <c r="E70" s="203" t="e">
        <f aca="false">IF($A70&lt;End_Date,IF(Control!$C$20="Flat",Control!$C$21,VLOOKUP(Model!$A70,Euro!$B$29:$D$182,3)),0)</f>
        <v>#VALUE!</v>
      </c>
      <c r="F70" s="203" t="e">
        <f aca="false">E70*B70</f>
        <v>#VALUE!</v>
      </c>
      <c r="H70" s="204" t="e">
        <f aca="false">IF(Control!$C$27="Mid",VLOOKUP($A70,CurveFetch!$D$8:$F$367,3),VLOOKUP($A70,Euro!$B$29:$I$182,8))</f>
        <v>#VALUE!</v>
      </c>
      <c r="I70" s="204"/>
      <c r="J70" s="204" t="e">
        <f aca="false">IF($J$4="Mid",VLOOKUP($A70,Curve_Fetch,VLOOKUP(Control!$AJ$10,Control!$AI$11:$AK$22,3)),VLOOKUP($A70,Euro!$B$29:$M$182,12))</f>
        <v>#VALUE!</v>
      </c>
      <c r="K70" s="205" t="e">
        <f aca="false">IF(Control!$F$18="Physical",IF($K$4="Mid",VLOOKUP($A70,Curve_Fetch,VLOOKUP(Control!$AJ$10,Control!$AI$11:$AL$22,4)),VLOOKUP($A70,Euro!$B$29:$Q$182,16)),0)</f>
        <v>#VALUE!</v>
      </c>
      <c r="L70" s="204" t="e">
        <f aca="false">SUM(J70:K70)</f>
        <v>#VALUE!</v>
      </c>
      <c r="M70" s="204"/>
      <c r="N70" s="206" t="e">
        <f aca="false">L70+H70</f>
        <v>#VALUE!</v>
      </c>
      <c r="O70" s="206" t="e">
        <f aca="false">N70+Control!$C$39</f>
        <v>#VALUE!</v>
      </c>
      <c r="P70" s="207" t="e">
        <f aca="false">VLOOKUP($A70,CurveFetch!$D$8:$E$367,2)</f>
        <v>#VALUE!</v>
      </c>
      <c r="Q70" s="208" t="e">
        <f aca="false">P70</f>
        <v>#VALUE!</v>
      </c>
      <c r="R70" s="209" t="e">
        <f aca="true">A70-1-TODAY()</f>
        <v>#VALUE!</v>
      </c>
      <c r="S70" s="210" t="e">
        <f aca="false">VLOOKUP($A70,Curve_Fetch,VLOOKUP(Control!$AJ$10,Control!$AI$11:$AM$22,5))</f>
        <v>#VALUE!</v>
      </c>
      <c r="T70" s="211" t="e">
        <f aca="false">EURO(N70,O70,P70,Q70,S70,R70,IF(Control!$C$38="Call",1,0),0)</f>
        <v>#NAME?</v>
      </c>
      <c r="U70" s="174" t="e">
        <f aca="false">T70*B70*E70</f>
        <v>#VALUE!</v>
      </c>
      <c r="V70" s="212"/>
      <c r="W70" s="213"/>
      <c r="X70" s="213"/>
      <c r="Y70" s="213"/>
      <c r="AA70" s="214"/>
      <c r="AB70" s="214"/>
      <c r="AC70" s="215"/>
      <c r="AD70" s="216"/>
      <c r="AE70" s="217"/>
      <c r="AF70" s="218"/>
      <c r="AG70" s="219"/>
      <c r="AH70" s="220"/>
      <c r="AI70" s="174"/>
      <c r="AJ70" s="171" t="e">
        <f aca="false">Y70-L70</f>
        <v>#VALUE!</v>
      </c>
      <c r="AL70" s="208" t="e">
        <f aca="false">VLOOKUP($C70,Curve_Fetch,2)+Cost_of_Funds</f>
        <v>#VALUE!</v>
      </c>
      <c r="AM70" s="210" t="e">
        <f aca="false">1/(1+AL70/2)^(2*(C70-Val_Date)/365.25)</f>
        <v>#VALUE!</v>
      </c>
      <c r="AO70" s="222" t="e">
        <f aca="false">$B70*$E70*$AM70</f>
        <v>#VALUE!</v>
      </c>
      <c r="AP70" s="222"/>
      <c r="AQ70" s="222" t="e">
        <f aca="false">H70*AO70</f>
        <v>#VALUE!</v>
      </c>
      <c r="AR70" s="222"/>
      <c r="AS70" s="174" t="e">
        <f aca="false">J70*$AO70</f>
        <v>#VALUE!</v>
      </c>
      <c r="AT70" s="174" t="e">
        <f aca="false">K70*$AO70</f>
        <v>#VALUE!</v>
      </c>
      <c r="AU70" s="174" t="e">
        <f aca="false">L70*$AO70</f>
        <v>#VALUE!</v>
      </c>
      <c r="AV70" s="174"/>
      <c r="AW70" s="174"/>
      <c r="AY70" s="220"/>
      <c r="AZ70" s="220"/>
      <c r="BA70" s="223"/>
      <c r="BC70" s="220"/>
      <c r="BE70" s="206"/>
    </row>
    <row r="71" customFormat="false" ht="12.75" hidden="false" customHeight="false" outlineLevel="0" collapsed="false">
      <c r="A71" s="167" t="e">
        <f aca="false">([1]!edate,A70,1)</f>
        <v>#VALUE!</v>
      </c>
      <c r="B71" s="201" t="e">
        <f aca="false">A72-A71</f>
        <v>#VALUE!</v>
      </c>
      <c r="C71" s="202" t="e">
        <f aca="false">IF(Control!$F$18="Physical",Model!A72+24,Model!A72)</f>
        <v>#VALUE!</v>
      </c>
      <c r="E71" s="203" t="e">
        <f aca="false">IF($A71&lt;End_Date,IF(Control!$C$20="Flat",Control!$C$21,VLOOKUP(Model!$A71,Euro!$B$29:$D$182,3)),0)</f>
        <v>#VALUE!</v>
      </c>
      <c r="F71" s="203" t="e">
        <f aca="false">E71*B71</f>
        <v>#VALUE!</v>
      </c>
      <c r="H71" s="204" t="e">
        <f aca="false">IF(Control!$C$27="Mid",VLOOKUP($A71,CurveFetch!$D$8:$F$367,3),VLOOKUP($A71,Euro!$B$29:$I$182,8))</f>
        <v>#VALUE!</v>
      </c>
      <c r="I71" s="204"/>
      <c r="J71" s="204" t="e">
        <f aca="false">IF($J$4="Mid",VLOOKUP($A71,Curve_Fetch,VLOOKUP(Control!$AJ$10,Control!$AI$11:$AK$22,3)),VLOOKUP($A71,Euro!$B$29:$M$182,12))</f>
        <v>#VALUE!</v>
      </c>
      <c r="K71" s="205" t="e">
        <f aca="false">IF(Control!$F$18="Physical",IF($K$4="Mid",VLOOKUP($A71,Curve_Fetch,VLOOKUP(Control!$AJ$10,Control!$AI$11:$AL$22,4)),VLOOKUP($A71,Euro!$B$29:$Q$182,16)),0)</f>
        <v>#VALUE!</v>
      </c>
      <c r="L71" s="204" t="e">
        <f aca="false">SUM(J71:K71)</f>
        <v>#VALUE!</v>
      </c>
      <c r="M71" s="204"/>
      <c r="N71" s="206" t="e">
        <f aca="false">L71+H71</f>
        <v>#VALUE!</v>
      </c>
      <c r="O71" s="206" t="e">
        <f aca="false">N71+Control!$C$39</f>
        <v>#VALUE!</v>
      </c>
      <c r="P71" s="207" t="e">
        <f aca="false">VLOOKUP($A71,CurveFetch!$D$8:$E$367,2)</f>
        <v>#VALUE!</v>
      </c>
      <c r="Q71" s="208" t="e">
        <f aca="false">P71</f>
        <v>#VALUE!</v>
      </c>
      <c r="R71" s="209" t="e">
        <f aca="true">A71-1-TODAY()</f>
        <v>#VALUE!</v>
      </c>
      <c r="S71" s="210" t="e">
        <f aca="false">VLOOKUP($A71,Curve_Fetch,VLOOKUP(Control!$AJ$10,Control!$AI$11:$AM$22,5))</f>
        <v>#VALUE!</v>
      </c>
      <c r="T71" s="211" t="e">
        <f aca="false">EURO(N71,O71,P71,Q71,S71,R71,IF(Control!$C$38="Call",1,0),0)</f>
        <v>#NAME?</v>
      </c>
      <c r="U71" s="174" t="e">
        <f aca="false">T71*B71*E71</f>
        <v>#VALUE!</v>
      </c>
      <c r="V71" s="212"/>
      <c r="W71" s="213"/>
      <c r="X71" s="213"/>
      <c r="Y71" s="213"/>
      <c r="AA71" s="214"/>
      <c r="AB71" s="214"/>
      <c r="AC71" s="215"/>
      <c r="AD71" s="216"/>
      <c r="AE71" s="217"/>
      <c r="AF71" s="218"/>
      <c r="AG71" s="219"/>
      <c r="AH71" s="220"/>
      <c r="AI71" s="174"/>
      <c r="AJ71" s="171" t="e">
        <f aca="false">Y71-L71</f>
        <v>#VALUE!</v>
      </c>
      <c r="AL71" s="208" t="e">
        <f aca="false">VLOOKUP($C71,Curve_Fetch,2)+Cost_of_Funds</f>
        <v>#VALUE!</v>
      </c>
      <c r="AM71" s="210" t="e">
        <f aca="false">1/(1+AL71/2)^(2*(C71-Val_Date)/365.25)</f>
        <v>#VALUE!</v>
      </c>
      <c r="AO71" s="222" t="e">
        <f aca="false">$B71*$E71*$AM71</f>
        <v>#VALUE!</v>
      </c>
      <c r="AP71" s="222"/>
      <c r="AQ71" s="222" t="e">
        <f aca="false">H71*AO71</f>
        <v>#VALUE!</v>
      </c>
      <c r="AR71" s="222"/>
      <c r="AS71" s="174" t="e">
        <f aca="false">J71*$AO71</f>
        <v>#VALUE!</v>
      </c>
      <c r="AT71" s="174" t="e">
        <f aca="false">K71*$AO71</f>
        <v>#VALUE!</v>
      </c>
      <c r="AU71" s="174" t="e">
        <f aca="false">L71*$AO71</f>
        <v>#VALUE!</v>
      </c>
      <c r="AV71" s="174"/>
      <c r="AW71" s="174"/>
      <c r="AY71" s="220"/>
      <c r="AZ71" s="220"/>
      <c r="BA71" s="223"/>
      <c r="BC71" s="220"/>
      <c r="BE71" s="206"/>
    </row>
    <row r="72" customFormat="false" ht="12.75" hidden="false" customHeight="false" outlineLevel="0" collapsed="false">
      <c r="A72" s="167" t="e">
        <f aca="false">([1]!edate,A71,1)</f>
        <v>#VALUE!</v>
      </c>
      <c r="B72" s="201" t="e">
        <f aca="false">A73-A72</f>
        <v>#VALUE!</v>
      </c>
      <c r="C72" s="202" t="e">
        <f aca="false">IF(Control!$F$18="Physical",Model!A73+24,Model!A73)</f>
        <v>#VALUE!</v>
      </c>
      <c r="E72" s="203" t="e">
        <f aca="false">IF($A72&lt;End_Date,IF(Control!$C$20="Flat",Control!$C$21,VLOOKUP(Model!$A72,Euro!$B$29:$D$182,3)),0)</f>
        <v>#VALUE!</v>
      </c>
      <c r="F72" s="203" t="e">
        <f aca="false">E72*B72</f>
        <v>#VALUE!</v>
      </c>
      <c r="H72" s="204" t="e">
        <f aca="false">IF(Control!$C$27="Mid",VLOOKUP($A72,CurveFetch!$D$8:$F$367,3),VLOOKUP($A72,Euro!$B$29:$I$182,8))</f>
        <v>#VALUE!</v>
      </c>
      <c r="I72" s="204"/>
      <c r="J72" s="204" t="e">
        <f aca="false">IF($J$4="Mid",VLOOKUP($A72,Curve_Fetch,VLOOKUP(Control!$AJ$10,Control!$AI$11:$AK$22,3)),VLOOKUP($A72,Euro!$B$29:$M$182,12))</f>
        <v>#VALUE!</v>
      </c>
      <c r="K72" s="205" t="e">
        <f aca="false">IF(Control!$F$18="Physical",IF($K$4="Mid",VLOOKUP($A72,Curve_Fetch,VLOOKUP(Control!$AJ$10,Control!$AI$11:$AL$22,4)),VLOOKUP($A72,Euro!$B$29:$Q$182,16)),0)</f>
        <v>#VALUE!</v>
      </c>
      <c r="L72" s="204" t="e">
        <f aca="false">SUM(J72:K72)</f>
        <v>#VALUE!</v>
      </c>
      <c r="M72" s="204"/>
      <c r="N72" s="206" t="e">
        <f aca="false">L72+H72</f>
        <v>#VALUE!</v>
      </c>
      <c r="O72" s="206" t="e">
        <f aca="false">N72+Control!$C$39</f>
        <v>#VALUE!</v>
      </c>
      <c r="P72" s="207" t="e">
        <f aca="false">VLOOKUP($A72,CurveFetch!$D$8:$E$367,2)</f>
        <v>#VALUE!</v>
      </c>
      <c r="Q72" s="208" t="e">
        <f aca="false">P72</f>
        <v>#VALUE!</v>
      </c>
      <c r="R72" s="209" t="e">
        <f aca="true">A72-1-TODAY()</f>
        <v>#VALUE!</v>
      </c>
      <c r="S72" s="210" t="e">
        <f aca="false">VLOOKUP($A72,Curve_Fetch,VLOOKUP(Control!$AJ$10,Control!$AI$11:$AM$22,5))</f>
        <v>#VALUE!</v>
      </c>
      <c r="T72" s="211" t="e">
        <f aca="false">EURO(N72,O72,P72,Q72,S72,R72,IF(Control!$C$38="Call",1,0),0)</f>
        <v>#NAME?</v>
      </c>
      <c r="U72" s="174" t="e">
        <f aca="false">T72*B72*E72</f>
        <v>#VALUE!</v>
      </c>
      <c r="V72" s="212"/>
      <c r="W72" s="213"/>
      <c r="X72" s="213"/>
      <c r="Y72" s="213"/>
      <c r="AA72" s="214"/>
      <c r="AB72" s="214"/>
      <c r="AC72" s="215"/>
      <c r="AD72" s="216"/>
      <c r="AE72" s="217"/>
      <c r="AF72" s="218"/>
      <c r="AG72" s="219"/>
      <c r="AH72" s="220"/>
      <c r="AI72" s="174"/>
      <c r="AJ72" s="171" t="e">
        <f aca="false">Y72-L72</f>
        <v>#VALUE!</v>
      </c>
      <c r="AL72" s="208" t="e">
        <f aca="false">VLOOKUP($C72,Curve_Fetch,2)+Cost_of_Funds</f>
        <v>#VALUE!</v>
      </c>
      <c r="AM72" s="210" t="e">
        <f aca="false">1/(1+AL72/2)^(2*(C72-Val_Date)/365.25)</f>
        <v>#VALUE!</v>
      </c>
      <c r="AO72" s="222" t="e">
        <f aca="false">$B72*$E72*$AM72</f>
        <v>#VALUE!</v>
      </c>
      <c r="AP72" s="222"/>
      <c r="AQ72" s="222" t="e">
        <f aca="false">H72*AO72</f>
        <v>#VALUE!</v>
      </c>
      <c r="AR72" s="222"/>
      <c r="AS72" s="174" t="e">
        <f aca="false">J72*$AO72</f>
        <v>#VALUE!</v>
      </c>
      <c r="AT72" s="174" t="e">
        <f aca="false">K72*$AO72</f>
        <v>#VALUE!</v>
      </c>
      <c r="AU72" s="174" t="e">
        <f aca="false">L72*$AO72</f>
        <v>#VALUE!</v>
      </c>
      <c r="AV72" s="174"/>
      <c r="AW72" s="174"/>
      <c r="AY72" s="220"/>
      <c r="AZ72" s="220"/>
      <c r="BA72" s="223"/>
      <c r="BC72" s="220"/>
      <c r="BE72" s="206"/>
    </row>
    <row r="73" customFormat="false" ht="12.75" hidden="false" customHeight="false" outlineLevel="0" collapsed="false">
      <c r="A73" s="167" t="e">
        <f aca="false">([1]!edate,A72,1)</f>
        <v>#VALUE!</v>
      </c>
      <c r="B73" s="201" t="e">
        <f aca="false">A74-A73</f>
        <v>#VALUE!</v>
      </c>
      <c r="C73" s="202" t="e">
        <f aca="false">IF(Control!$F$18="Physical",Model!A74+24,Model!A74)</f>
        <v>#VALUE!</v>
      </c>
      <c r="E73" s="203" t="e">
        <f aca="false">IF($A73&lt;End_Date,IF(Control!$C$20="Flat",Control!$C$21,VLOOKUP(Model!$A73,Euro!$B$29:$D$182,3)),0)</f>
        <v>#VALUE!</v>
      </c>
      <c r="F73" s="203" t="e">
        <f aca="false">E73*B73</f>
        <v>#VALUE!</v>
      </c>
      <c r="H73" s="204" t="e">
        <f aca="false">IF(Control!$C$27="Mid",VLOOKUP($A73,CurveFetch!$D$8:$F$367,3),VLOOKUP($A73,Euro!$B$29:$I$182,8))</f>
        <v>#VALUE!</v>
      </c>
      <c r="I73" s="204"/>
      <c r="J73" s="204" t="e">
        <f aca="false">IF($J$4="Mid",VLOOKUP($A73,Curve_Fetch,VLOOKUP(Control!$AJ$10,Control!$AI$11:$AK$22,3)),VLOOKUP($A73,Euro!$B$29:$M$182,12))</f>
        <v>#VALUE!</v>
      </c>
      <c r="K73" s="205" t="e">
        <f aca="false">IF(Control!$F$18="Physical",IF($K$4="Mid",VLOOKUP($A73,Curve_Fetch,VLOOKUP(Control!$AJ$10,Control!$AI$11:$AL$22,4)),VLOOKUP($A73,Euro!$B$29:$Q$182,16)),0)</f>
        <v>#VALUE!</v>
      </c>
      <c r="L73" s="204" t="e">
        <f aca="false">SUM(J73:K73)</f>
        <v>#VALUE!</v>
      </c>
      <c r="M73" s="204"/>
      <c r="N73" s="206" t="e">
        <f aca="false">L73+H73</f>
        <v>#VALUE!</v>
      </c>
      <c r="O73" s="206" t="e">
        <f aca="false">N73+Control!$C$39</f>
        <v>#VALUE!</v>
      </c>
      <c r="P73" s="207" t="e">
        <f aca="false">VLOOKUP($A73,CurveFetch!$D$8:$E$367,2)</f>
        <v>#VALUE!</v>
      </c>
      <c r="Q73" s="208" t="e">
        <f aca="false">P73</f>
        <v>#VALUE!</v>
      </c>
      <c r="R73" s="209" t="e">
        <f aca="true">A73-1-TODAY()</f>
        <v>#VALUE!</v>
      </c>
      <c r="S73" s="210" t="e">
        <f aca="false">VLOOKUP($A73,Curve_Fetch,VLOOKUP(Control!$AJ$10,Control!$AI$11:$AM$22,5))</f>
        <v>#VALUE!</v>
      </c>
      <c r="T73" s="211" t="e">
        <f aca="false">EURO(N73,O73,P73,Q73,S73,R73,IF(Control!$C$38="Call",1,0),0)</f>
        <v>#NAME?</v>
      </c>
      <c r="U73" s="174" t="e">
        <f aca="false">T73*B73*E73</f>
        <v>#VALUE!</v>
      </c>
      <c r="V73" s="212"/>
      <c r="W73" s="213"/>
      <c r="X73" s="213"/>
      <c r="Y73" s="213"/>
      <c r="AA73" s="214"/>
      <c r="AB73" s="214"/>
      <c r="AC73" s="215"/>
      <c r="AD73" s="216"/>
      <c r="AE73" s="217"/>
      <c r="AF73" s="218"/>
      <c r="AG73" s="219"/>
      <c r="AH73" s="220"/>
      <c r="AI73" s="174"/>
      <c r="AJ73" s="171" t="e">
        <f aca="false">Y73-L73</f>
        <v>#VALUE!</v>
      </c>
      <c r="AL73" s="208" t="e">
        <f aca="false">VLOOKUP($C73,Curve_Fetch,2)+Cost_of_Funds</f>
        <v>#VALUE!</v>
      </c>
      <c r="AM73" s="210" t="e">
        <f aca="false">1/(1+AL73/2)^(2*(C73-Val_Date)/365.25)</f>
        <v>#VALUE!</v>
      </c>
      <c r="AO73" s="222" t="e">
        <f aca="false">$B73*$E73*$AM73</f>
        <v>#VALUE!</v>
      </c>
      <c r="AP73" s="222"/>
      <c r="AQ73" s="222" t="e">
        <f aca="false">H73*AO73</f>
        <v>#VALUE!</v>
      </c>
      <c r="AR73" s="222"/>
      <c r="AS73" s="174" t="e">
        <f aca="false">J73*$AO73</f>
        <v>#VALUE!</v>
      </c>
      <c r="AT73" s="174" t="e">
        <f aca="false">K73*$AO73</f>
        <v>#VALUE!</v>
      </c>
      <c r="AU73" s="174" t="e">
        <f aca="false">L73*$AO73</f>
        <v>#VALUE!</v>
      </c>
      <c r="AV73" s="174"/>
      <c r="AW73" s="174"/>
      <c r="AY73" s="220"/>
      <c r="AZ73" s="220"/>
      <c r="BA73" s="223"/>
      <c r="BC73" s="220"/>
      <c r="BE73" s="206"/>
    </row>
    <row r="74" customFormat="false" ht="12.75" hidden="false" customHeight="false" outlineLevel="0" collapsed="false">
      <c r="A74" s="167" t="e">
        <f aca="false">([1]!edate,A73,1)</f>
        <v>#VALUE!</v>
      </c>
      <c r="B74" s="201" t="e">
        <f aca="false">A75-A74</f>
        <v>#VALUE!</v>
      </c>
      <c r="C74" s="202" t="e">
        <f aca="false">IF(Control!$F$18="Physical",Model!A75+24,Model!A75)</f>
        <v>#VALUE!</v>
      </c>
      <c r="E74" s="203" t="e">
        <f aca="false">IF($A74&lt;End_Date,IF(Control!$C$20="Flat",Control!$C$21,VLOOKUP(Model!$A74,Euro!$B$29:$D$182,3)),0)</f>
        <v>#VALUE!</v>
      </c>
      <c r="F74" s="203" t="e">
        <f aca="false">E74*B74</f>
        <v>#VALUE!</v>
      </c>
      <c r="H74" s="204" t="e">
        <f aca="false">IF(Control!$C$27="Mid",VLOOKUP($A74,CurveFetch!$D$8:$F$367,3),VLOOKUP($A74,Euro!$B$29:$I$182,8))</f>
        <v>#VALUE!</v>
      </c>
      <c r="I74" s="204"/>
      <c r="J74" s="204" t="e">
        <f aca="false">IF($J$4="Mid",VLOOKUP($A74,Curve_Fetch,VLOOKUP(Control!$AJ$10,Control!$AI$11:$AK$22,3)),VLOOKUP($A74,Euro!$B$29:$M$182,12))</f>
        <v>#VALUE!</v>
      </c>
      <c r="K74" s="205" t="e">
        <f aca="false">IF(Control!$F$18="Physical",IF($K$4="Mid",VLOOKUP($A74,Curve_Fetch,VLOOKUP(Control!$AJ$10,Control!$AI$11:$AL$22,4)),VLOOKUP($A74,Euro!$B$29:$Q$182,16)),0)</f>
        <v>#VALUE!</v>
      </c>
      <c r="L74" s="204" t="e">
        <f aca="false">SUM(J74:K74)</f>
        <v>#VALUE!</v>
      </c>
      <c r="M74" s="204"/>
      <c r="N74" s="206" t="e">
        <f aca="false">L74+H74</f>
        <v>#VALUE!</v>
      </c>
      <c r="O74" s="206" t="e">
        <f aca="false">N74+Control!$C$39</f>
        <v>#VALUE!</v>
      </c>
      <c r="P74" s="207" t="e">
        <f aca="false">VLOOKUP($A74,CurveFetch!$D$8:$E$367,2)</f>
        <v>#VALUE!</v>
      </c>
      <c r="Q74" s="208" t="e">
        <f aca="false">P74</f>
        <v>#VALUE!</v>
      </c>
      <c r="R74" s="209" t="e">
        <f aca="true">A74-1-TODAY()</f>
        <v>#VALUE!</v>
      </c>
      <c r="S74" s="210" t="e">
        <f aca="false">VLOOKUP($A74,Curve_Fetch,VLOOKUP(Control!$AJ$10,Control!$AI$11:$AM$22,5))</f>
        <v>#VALUE!</v>
      </c>
      <c r="T74" s="211" t="e">
        <f aca="false">EURO(N74,O74,P74,Q74,S74,R74,IF(Control!$C$38="Call",1,0),0)</f>
        <v>#NAME?</v>
      </c>
      <c r="U74" s="174" t="e">
        <f aca="false">T74*B74*E74</f>
        <v>#VALUE!</v>
      </c>
      <c r="V74" s="212"/>
      <c r="W74" s="213"/>
      <c r="X74" s="213"/>
      <c r="Y74" s="213"/>
      <c r="AA74" s="214"/>
      <c r="AB74" s="214"/>
      <c r="AC74" s="215"/>
      <c r="AD74" s="216"/>
      <c r="AE74" s="217"/>
      <c r="AF74" s="218"/>
      <c r="AG74" s="219"/>
      <c r="AH74" s="220"/>
      <c r="AI74" s="174"/>
      <c r="AJ74" s="171" t="e">
        <f aca="false">Y74-L74</f>
        <v>#VALUE!</v>
      </c>
      <c r="AL74" s="208" t="e">
        <f aca="false">VLOOKUP($C74,Curve_Fetch,2)+Cost_of_Funds</f>
        <v>#VALUE!</v>
      </c>
      <c r="AM74" s="210" t="e">
        <f aca="false">1/(1+AL74/2)^(2*(C74-Val_Date)/365.25)</f>
        <v>#VALUE!</v>
      </c>
      <c r="AO74" s="222" t="e">
        <f aca="false">$B74*$E74*$AM74</f>
        <v>#VALUE!</v>
      </c>
      <c r="AP74" s="222"/>
      <c r="AQ74" s="222" t="e">
        <f aca="false">H74*AO74</f>
        <v>#VALUE!</v>
      </c>
      <c r="AR74" s="222"/>
      <c r="AS74" s="174" t="e">
        <f aca="false">J74*$AO74</f>
        <v>#VALUE!</v>
      </c>
      <c r="AT74" s="174" t="e">
        <f aca="false">K74*$AO74</f>
        <v>#VALUE!</v>
      </c>
      <c r="AU74" s="174" t="e">
        <f aca="false">L74*$AO74</f>
        <v>#VALUE!</v>
      </c>
      <c r="AV74" s="174"/>
      <c r="AW74" s="174"/>
      <c r="AY74" s="220"/>
      <c r="AZ74" s="220"/>
      <c r="BA74" s="223"/>
      <c r="BC74" s="220"/>
      <c r="BE74" s="206"/>
    </row>
    <row r="75" customFormat="false" ht="12.75" hidden="false" customHeight="false" outlineLevel="0" collapsed="false">
      <c r="A75" s="167" t="e">
        <f aca="false">([1]!edate,A74,1)</f>
        <v>#VALUE!</v>
      </c>
      <c r="B75" s="201" t="e">
        <f aca="false">A76-A75</f>
        <v>#VALUE!</v>
      </c>
      <c r="C75" s="202" t="e">
        <f aca="false">IF(Control!$F$18="Physical",Model!A76+24,Model!A76)</f>
        <v>#VALUE!</v>
      </c>
      <c r="E75" s="203" t="e">
        <f aca="false">IF($A75&lt;End_Date,IF(Control!$C$20="Flat",Control!$C$21,VLOOKUP(Model!$A75,Euro!$B$29:$D$182,3)),0)</f>
        <v>#VALUE!</v>
      </c>
      <c r="F75" s="203" t="e">
        <f aca="false">E75*B75</f>
        <v>#VALUE!</v>
      </c>
      <c r="H75" s="204" t="e">
        <f aca="false">IF(Control!$C$27="Mid",VLOOKUP($A75,CurveFetch!$D$8:$F$367,3),VLOOKUP($A75,Euro!$B$29:$I$182,8))</f>
        <v>#VALUE!</v>
      </c>
      <c r="I75" s="204"/>
      <c r="J75" s="204" t="e">
        <f aca="false">IF($J$4="Mid",VLOOKUP($A75,Curve_Fetch,VLOOKUP(Control!$AJ$10,Control!$AI$11:$AK$22,3)),VLOOKUP($A75,Euro!$B$29:$M$182,12))</f>
        <v>#VALUE!</v>
      </c>
      <c r="K75" s="205" t="e">
        <f aca="false">IF(Control!$F$18="Physical",IF($K$4="Mid",VLOOKUP($A75,Curve_Fetch,VLOOKUP(Control!$AJ$10,Control!$AI$11:$AL$22,4)),VLOOKUP($A75,Euro!$B$29:$Q$182,16)),0)</f>
        <v>#VALUE!</v>
      </c>
      <c r="L75" s="204" t="e">
        <f aca="false">SUM(J75:K75)</f>
        <v>#VALUE!</v>
      </c>
      <c r="M75" s="204"/>
      <c r="N75" s="206" t="e">
        <f aca="false">L75+H75</f>
        <v>#VALUE!</v>
      </c>
      <c r="O75" s="206" t="e">
        <f aca="false">N75+Control!$C$39</f>
        <v>#VALUE!</v>
      </c>
      <c r="P75" s="207" t="e">
        <f aca="false">VLOOKUP($A75,CurveFetch!$D$8:$E$367,2)</f>
        <v>#VALUE!</v>
      </c>
      <c r="Q75" s="208" t="e">
        <f aca="false">P75</f>
        <v>#VALUE!</v>
      </c>
      <c r="R75" s="209" t="e">
        <f aca="true">A75-1-TODAY()</f>
        <v>#VALUE!</v>
      </c>
      <c r="S75" s="210" t="e">
        <f aca="false">VLOOKUP($A75,Curve_Fetch,VLOOKUP(Control!$AJ$10,Control!$AI$11:$AM$22,5))</f>
        <v>#VALUE!</v>
      </c>
      <c r="T75" s="211" t="e">
        <f aca="false">EURO(N75,O75,P75,Q75,S75,R75,IF(Control!$C$38="Call",1,0),0)</f>
        <v>#NAME?</v>
      </c>
      <c r="U75" s="174" t="e">
        <f aca="false">T75*B75*E75</f>
        <v>#VALUE!</v>
      </c>
      <c r="V75" s="212"/>
      <c r="W75" s="213"/>
      <c r="X75" s="213"/>
      <c r="Y75" s="213"/>
      <c r="AA75" s="214"/>
      <c r="AB75" s="214"/>
      <c r="AC75" s="215"/>
      <c r="AD75" s="216"/>
      <c r="AE75" s="217"/>
      <c r="AF75" s="218"/>
      <c r="AG75" s="219"/>
      <c r="AH75" s="220"/>
      <c r="AI75" s="174"/>
      <c r="AJ75" s="171" t="e">
        <f aca="false">Y75-L75</f>
        <v>#VALUE!</v>
      </c>
      <c r="AL75" s="208" t="e">
        <f aca="false">VLOOKUP($C75,Curve_Fetch,2)+Cost_of_Funds</f>
        <v>#VALUE!</v>
      </c>
      <c r="AM75" s="210" t="e">
        <f aca="false">1/(1+AL75/2)^(2*(C75-Val_Date)/365.25)</f>
        <v>#VALUE!</v>
      </c>
      <c r="AO75" s="222" t="e">
        <f aca="false">$B75*$E75*$AM75</f>
        <v>#VALUE!</v>
      </c>
      <c r="AP75" s="222"/>
      <c r="AQ75" s="222" t="e">
        <f aca="false">H75*AO75</f>
        <v>#VALUE!</v>
      </c>
      <c r="AR75" s="222"/>
      <c r="AS75" s="174" t="e">
        <f aca="false">J75*$AO75</f>
        <v>#VALUE!</v>
      </c>
      <c r="AT75" s="174" t="e">
        <f aca="false">K75*$AO75</f>
        <v>#VALUE!</v>
      </c>
      <c r="AU75" s="174" t="e">
        <f aca="false">L75*$AO75</f>
        <v>#VALUE!</v>
      </c>
      <c r="AV75" s="174"/>
      <c r="AW75" s="174"/>
      <c r="AY75" s="220"/>
      <c r="AZ75" s="220"/>
      <c r="BA75" s="223"/>
      <c r="BC75" s="220"/>
      <c r="BE75" s="206"/>
    </row>
    <row r="76" customFormat="false" ht="12.75" hidden="false" customHeight="false" outlineLevel="0" collapsed="false">
      <c r="A76" s="167" t="e">
        <f aca="false">([1]!edate,A75,1)</f>
        <v>#VALUE!</v>
      </c>
      <c r="B76" s="201" t="e">
        <f aca="false">A77-A76</f>
        <v>#VALUE!</v>
      </c>
      <c r="C76" s="202" t="e">
        <f aca="false">IF(Control!$F$18="Physical",Model!A77+24,Model!A77)</f>
        <v>#VALUE!</v>
      </c>
      <c r="E76" s="203" t="e">
        <f aca="false">IF($A76&lt;End_Date,IF(Control!$C$20="Flat",Control!$C$21,VLOOKUP(Model!$A76,Euro!$B$29:$D$182,3)),0)</f>
        <v>#VALUE!</v>
      </c>
      <c r="F76" s="203" t="e">
        <f aca="false">E76*B76</f>
        <v>#VALUE!</v>
      </c>
      <c r="H76" s="204" t="e">
        <f aca="false">IF(Control!$C$27="Mid",VLOOKUP($A76,CurveFetch!$D$8:$F$367,3),VLOOKUP($A76,Euro!$B$29:$I$182,8))</f>
        <v>#VALUE!</v>
      </c>
      <c r="I76" s="204"/>
      <c r="J76" s="204" t="e">
        <f aca="false">IF($J$4="Mid",VLOOKUP($A76,Curve_Fetch,VLOOKUP(Control!$AJ$10,Control!$AI$11:$AK$22,3)),VLOOKUP($A76,Euro!$B$29:$M$182,12))</f>
        <v>#VALUE!</v>
      </c>
      <c r="K76" s="205" t="e">
        <f aca="false">IF(Control!$F$18="Physical",IF($K$4="Mid",VLOOKUP($A76,Curve_Fetch,VLOOKUP(Control!$AJ$10,Control!$AI$11:$AL$22,4)),VLOOKUP($A76,Euro!$B$29:$Q$182,16)),0)</f>
        <v>#VALUE!</v>
      </c>
      <c r="L76" s="204" t="e">
        <f aca="false">SUM(J76:K76)</f>
        <v>#VALUE!</v>
      </c>
      <c r="M76" s="204"/>
      <c r="N76" s="206" t="e">
        <f aca="false">L76+H76</f>
        <v>#VALUE!</v>
      </c>
      <c r="O76" s="206" t="e">
        <f aca="false">N76+Control!$C$39</f>
        <v>#VALUE!</v>
      </c>
      <c r="P76" s="207" t="e">
        <f aca="false">VLOOKUP($A76,CurveFetch!$D$8:$E$367,2)</f>
        <v>#VALUE!</v>
      </c>
      <c r="Q76" s="208" t="e">
        <f aca="false">P76</f>
        <v>#VALUE!</v>
      </c>
      <c r="R76" s="209" t="e">
        <f aca="true">A76-1-TODAY()</f>
        <v>#VALUE!</v>
      </c>
      <c r="S76" s="210" t="e">
        <f aca="false">VLOOKUP($A76,Curve_Fetch,VLOOKUP(Control!$AJ$10,Control!$AI$11:$AM$22,5))</f>
        <v>#VALUE!</v>
      </c>
      <c r="T76" s="211" t="e">
        <f aca="false">EURO(N76,O76,P76,Q76,S76,R76,IF(Control!$C$38="Call",1,0),0)</f>
        <v>#NAME?</v>
      </c>
      <c r="U76" s="174" t="e">
        <f aca="false">T76*B76*E76</f>
        <v>#VALUE!</v>
      </c>
      <c r="V76" s="212"/>
      <c r="W76" s="213"/>
      <c r="X76" s="213"/>
      <c r="Y76" s="213"/>
      <c r="AA76" s="214"/>
      <c r="AB76" s="214"/>
      <c r="AC76" s="215"/>
      <c r="AD76" s="216"/>
      <c r="AE76" s="217"/>
      <c r="AF76" s="218"/>
      <c r="AG76" s="219"/>
      <c r="AH76" s="220"/>
      <c r="AI76" s="174"/>
      <c r="AJ76" s="171" t="e">
        <f aca="false">Y76-L76</f>
        <v>#VALUE!</v>
      </c>
      <c r="AL76" s="208" t="e">
        <f aca="false">VLOOKUP($C76,Curve_Fetch,2)+Cost_of_Funds</f>
        <v>#VALUE!</v>
      </c>
      <c r="AM76" s="210" t="e">
        <f aca="false">1/(1+AL76/2)^(2*(C76-Val_Date)/365.25)</f>
        <v>#VALUE!</v>
      </c>
      <c r="AO76" s="222" t="e">
        <f aca="false">$B76*$E76*$AM76</f>
        <v>#VALUE!</v>
      </c>
      <c r="AP76" s="222"/>
      <c r="AQ76" s="222" t="e">
        <f aca="false">H76*AO76</f>
        <v>#VALUE!</v>
      </c>
      <c r="AR76" s="222"/>
      <c r="AS76" s="174" t="e">
        <f aca="false">J76*$AO76</f>
        <v>#VALUE!</v>
      </c>
      <c r="AT76" s="174" t="e">
        <f aca="false">K76*$AO76</f>
        <v>#VALUE!</v>
      </c>
      <c r="AU76" s="174" t="e">
        <f aca="false">L76*$AO76</f>
        <v>#VALUE!</v>
      </c>
      <c r="AV76" s="174"/>
      <c r="AW76" s="174"/>
      <c r="AY76" s="220"/>
      <c r="AZ76" s="220"/>
      <c r="BA76" s="223"/>
      <c r="BC76" s="220"/>
      <c r="BE76" s="206"/>
    </row>
    <row r="77" customFormat="false" ht="12.75" hidden="false" customHeight="false" outlineLevel="0" collapsed="false">
      <c r="A77" s="167" t="e">
        <f aca="false">([1]!edate,A76,1)</f>
        <v>#VALUE!</v>
      </c>
      <c r="B77" s="201" t="e">
        <f aca="false">A78-A77</f>
        <v>#VALUE!</v>
      </c>
      <c r="C77" s="202" t="e">
        <f aca="false">IF(Control!$F$18="Physical",Model!A78+24,Model!A78)</f>
        <v>#VALUE!</v>
      </c>
      <c r="E77" s="203" t="e">
        <f aca="false">IF($A77&lt;End_Date,IF(Control!$C$20="Flat",Control!$C$21,VLOOKUP(Model!$A77,Euro!$B$29:$D$182,3)),0)</f>
        <v>#VALUE!</v>
      </c>
      <c r="F77" s="203" t="e">
        <f aca="false">E77*B77</f>
        <v>#VALUE!</v>
      </c>
      <c r="H77" s="204" t="e">
        <f aca="false">IF(Control!$C$27="Mid",VLOOKUP($A77,CurveFetch!$D$8:$F$367,3),VLOOKUP($A77,Euro!$B$29:$I$182,8))</f>
        <v>#VALUE!</v>
      </c>
      <c r="I77" s="204"/>
      <c r="J77" s="204" t="e">
        <f aca="false">IF($J$4="Mid",VLOOKUP($A77,Curve_Fetch,VLOOKUP(Control!$AJ$10,Control!$AI$11:$AK$22,3)),VLOOKUP($A77,Euro!$B$29:$M$182,12))</f>
        <v>#VALUE!</v>
      </c>
      <c r="K77" s="205" t="e">
        <f aca="false">IF(Control!$F$18="Physical",IF($K$4="Mid",VLOOKUP($A77,Curve_Fetch,VLOOKUP(Control!$AJ$10,Control!$AI$11:$AL$22,4)),VLOOKUP($A77,Euro!$B$29:$Q$182,16)),0)</f>
        <v>#VALUE!</v>
      </c>
      <c r="L77" s="204" t="e">
        <f aca="false">SUM(J77:K77)</f>
        <v>#VALUE!</v>
      </c>
      <c r="M77" s="204"/>
      <c r="N77" s="206" t="e">
        <f aca="false">L77+H77</f>
        <v>#VALUE!</v>
      </c>
      <c r="O77" s="206" t="e">
        <f aca="false">N77+Control!$C$39</f>
        <v>#VALUE!</v>
      </c>
      <c r="P77" s="207" t="e">
        <f aca="false">VLOOKUP($A77,CurveFetch!$D$8:$E$367,2)</f>
        <v>#VALUE!</v>
      </c>
      <c r="Q77" s="208" t="e">
        <f aca="false">P77</f>
        <v>#VALUE!</v>
      </c>
      <c r="R77" s="209" t="e">
        <f aca="true">A77-1-TODAY()</f>
        <v>#VALUE!</v>
      </c>
      <c r="S77" s="210" t="e">
        <f aca="false">VLOOKUP($A77,Curve_Fetch,VLOOKUP(Control!$AJ$10,Control!$AI$11:$AM$22,5))</f>
        <v>#VALUE!</v>
      </c>
      <c r="T77" s="211" t="e">
        <f aca="false">EURO(N77,O77,P77,Q77,S77,R77,IF(Control!$C$38="Call",1,0),0)</f>
        <v>#NAME?</v>
      </c>
      <c r="U77" s="174" t="e">
        <f aca="false">T77*B77*E77</f>
        <v>#VALUE!</v>
      </c>
      <c r="V77" s="212"/>
      <c r="W77" s="213"/>
      <c r="X77" s="213"/>
      <c r="Y77" s="213"/>
      <c r="AA77" s="214"/>
      <c r="AB77" s="214"/>
      <c r="AC77" s="215"/>
      <c r="AD77" s="216"/>
      <c r="AE77" s="217"/>
      <c r="AF77" s="218"/>
      <c r="AG77" s="219"/>
      <c r="AH77" s="220"/>
      <c r="AI77" s="174"/>
      <c r="AJ77" s="171" t="e">
        <f aca="false">Y77-L77</f>
        <v>#VALUE!</v>
      </c>
      <c r="AL77" s="208" t="e">
        <f aca="false">VLOOKUP($C77,Curve_Fetch,2)+Cost_of_Funds</f>
        <v>#VALUE!</v>
      </c>
      <c r="AM77" s="210" t="e">
        <f aca="false">1/(1+AL77/2)^(2*(C77-Val_Date)/365.25)</f>
        <v>#VALUE!</v>
      </c>
      <c r="AO77" s="222" t="e">
        <f aca="false">$B77*$E77*$AM77</f>
        <v>#VALUE!</v>
      </c>
      <c r="AP77" s="222"/>
      <c r="AQ77" s="222" t="e">
        <f aca="false">H77*AO77</f>
        <v>#VALUE!</v>
      </c>
      <c r="AR77" s="222"/>
      <c r="AS77" s="174" t="e">
        <f aca="false">J77*$AO77</f>
        <v>#VALUE!</v>
      </c>
      <c r="AT77" s="174" t="e">
        <f aca="false">K77*$AO77</f>
        <v>#VALUE!</v>
      </c>
      <c r="AU77" s="174" t="e">
        <f aca="false">L77*$AO77</f>
        <v>#VALUE!</v>
      </c>
      <c r="AV77" s="174"/>
      <c r="AW77" s="174"/>
      <c r="AY77" s="220"/>
      <c r="AZ77" s="220"/>
      <c r="BA77" s="223"/>
      <c r="BC77" s="220"/>
      <c r="BE77" s="206"/>
    </row>
    <row r="78" customFormat="false" ht="12.75" hidden="false" customHeight="false" outlineLevel="0" collapsed="false">
      <c r="A78" s="167" t="e">
        <f aca="false">([1]!edate,A77,1)</f>
        <v>#VALUE!</v>
      </c>
      <c r="B78" s="201" t="e">
        <f aca="false">A79-A78</f>
        <v>#VALUE!</v>
      </c>
      <c r="C78" s="202" t="e">
        <f aca="false">IF(Control!$F$18="Physical",Model!A79+24,Model!A79)</f>
        <v>#VALUE!</v>
      </c>
      <c r="E78" s="203" t="e">
        <f aca="false">IF($A78&lt;End_Date,IF(Control!$C$20="Flat",Control!$C$21,VLOOKUP(Model!$A78,Euro!$B$29:$D$182,3)),0)</f>
        <v>#VALUE!</v>
      </c>
      <c r="F78" s="203" t="e">
        <f aca="false">E78*B78</f>
        <v>#VALUE!</v>
      </c>
      <c r="H78" s="204" t="e">
        <f aca="false">IF(Control!$C$27="Mid",VLOOKUP($A78,CurveFetch!$D$8:$F$367,3),VLOOKUP($A78,Euro!$B$29:$I$182,8))</f>
        <v>#VALUE!</v>
      </c>
      <c r="I78" s="204"/>
      <c r="J78" s="204" t="e">
        <f aca="false">IF($J$4="Mid",VLOOKUP($A78,Curve_Fetch,VLOOKUP(Control!$AJ$10,Control!$AI$11:$AK$22,3)),VLOOKUP($A78,Euro!$B$29:$M$182,12))</f>
        <v>#VALUE!</v>
      </c>
      <c r="K78" s="205" t="e">
        <f aca="false">IF(Control!$F$18="Physical",IF($K$4="Mid",VLOOKUP($A78,Curve_Fetch,VLOOKUP(Control!$AJ$10,Control!$AI$11:$AL$22,4)),VLOOKUP($A78,Euro!$B$29:$Q$182,16)),0)</f>
        <v>#VALUE!</v>
      </c>
      <c r="L78" s="204" t="e">
        <f aca="false">SUM(J78:K78)</f>
        <v>#VALUE!</v>
      </c>
      <c r="M78" s="204"/>
      <c r="N78" s="206" t="e">
        <f aca="false">L78+H78</f>
        <v>#VALUE!</v>
      </c>
      <c r="O78" s="206" t="e">
        <f aca="false">N78+Control!$C$39</f>
        <v>#VALUE!</v>
      </c>
      <c r="P78" s="207" t="e">
        <f aca="false">VLOOKUP($A78,CurveFetch!$D$8:$E$367,2)</f>
        <v>#VALUE!</v>
      </c>
      <c r="Q78" s="208" t="e">
        <f aca="false">P78</f>
        <v>#VALUE!</v>
      </c>
      <c r="R78" s="209" t="e">
        <f aca="true">A78-1-TODAY()</f>
        <v>#VALUE!</v>
      </c>
      <c r="S78" s="210" t="e">
        <f aca="false">VLOOKUP($A78,Curve_Fetch,VLOOKUP(Control!$AJ$10,Control!$AI$11:$AM$22,5))</f>
        <v>#VALUE!</v>
      </c>
      <c r="T78" s="211" t="e">
        <f aca="false">EURO(N78,O78,P78,Q78,S78,R78,IF(Control!$C$38="Call",1,0),0)</f>
        <v>#NAME?</v>
      </c>
      <c r="U78" s="174" t="e">
        <f aca="false">T78*B78*E78</f>
        <v>#VALUE!</v>
      </c>
      <c r="V78" s="212"/>
      <c r="W78" s="213"/>
      <c r="X78" s="213"/>
      <c r="Y78" s="213"/>
      <c r="AA78" s="214"/>
      <c r="AB78" s="214"/>
      <c r="AC78" s="215"/>
      <c r="AD78" s="216"/>
      <c r="AE78" s="217"/>
      <c r="AF78" s="218"/>
      <c r="AG78" s="219"/>
      <c r="AH78" s="220"/>
      <c r="AI78" s="174"/>
      <c r="AJ78" s="171" t="e">
        <f aca="false">Y78-L78</f>
        <v>#VALUE!</v>
      </c>
      <c r="AL78" s="208" t="e">
        <f aca="false">VLOOKUP($C78,Curve_Fetch,2)+Cost_of_Funds</f>
        <v>#VALUE!</v>
      </c>
      <c r="AM78" s="210" t="e">
        <f aca="false">1/(1+AL78/2)^(2*(C78-Val_Date)/365.25)</f>
        <v>#VALUE!</v>
      </c>
      <c r="AO78" s="222" t="e">
        <f aca="false">$B78*$E78*$AM78</f>
        <v>#VALUE!</v>
      </c>
      <c r="AP78" s="222"/>
      <c r="AQ78" s="222" t="e">
        <f aca="false">H78*AO78</f>
        <v>#VALUE!</v>
      </c>
      <c r="AR78" s="222"/>
      <c r="AS78" s="174" t="e">
        <f aca="false">J78*$AO78</f>
        <v>#VALUE!</v>
      </c>
      <c r="AT78" s="174" t="e">
        <f aca="false">K78*$AO78</f>
        <v>#VALUE!</v>
      </c>
      <c r="AU78" s="174" t="e">
        <f aca="false">L78*$AO78</f>
        <v>#VALUE!</v>
      </c>
      <c r="AV78" s="174"/>
      <c r="AW78" s="174"/>
      <c r="AY78" s="220"/>
      <c r="AZ78" s="220"/>
      <c r="BA78" s="223"/>
      <c r="BC78" s="220"/>
      <c r="BE78" s="206"/>
    </row>
    <row r="79" customFormat="false" ht="12.75" hidden="false" customHeight="false" outlineLevel="0" collapsed="false">
      <c r="A79" s="167" t="e">
        <f aca="false">([1]!edate,A78,1)</f>
        <v>#VALUE!</v>
      </c>
      <c r="B79" s="201" t="e">
        <f aca="false">A80-A79</f>
        <v>#VALUE!</v>
      </c>
      <c r="C79" s="202" t="e">
        <f aca="false">IF(Control!$F$18="Physical",Model!A80+24,Model!A80)</f>
        <v>#VALUE!</v>
      </c>
      <c r="E79" s="203" t="e">
        <f aca="false">IF($A79&lt;End_Date,IF(Control!$C$20="Flat",Control!$C$21,VLOOKUP(Model!$A79,Euro!$B$29:$D$182,3)),0)</f>
        <v>#VALUE!</v>
      </c>
      <c r="F79" s="203" t="e">
        <f aca="false">E79*B79</f>
        <v>#VALUE!</v>
      </c>
      <c r="H79" s="204" t="e">
        <f aca="false">IF(Control!$C$27="Mid",VLOOKUP($A79,CurveFetch!$D$8:$F$367,3),VLOOKUP($A79,Euro!$B$29:$I$182,8))</f>
        <v>#VALUE!</v>
      </c>
      <c r="I79" s="204"/>
      <c r="J79" s="204" t="e">
        <f aca="false">IF($J$4="Mid",VLOOKUP($A79,Curve_Fetch,VLOOKUP(Control!$AJ$10,Control!$AI$11:$AK$22,3)),VLOOKUP($A79,Euro!$B$29:$M$182,12))</f>
        <v>#VALUE!</v>
      </c>
      <c r="K79" s="205" t="e">
        <f aca="false">IF(Control!$F$18="Physical",IF($K$4="Mid",VLOOKUP($A79,Curve_Fetch,VLOOKUP(Control!$AJ$10,Control!$AI$11:$AL$22,4)),VLOOKUP($A79,Euro!$B$29:$Q$182,16)),0)</f>
        <v>#VALUE!</v>
      </c>
      <c r="L79" s="204" t="e">
        <f aca="false">SUM(J79:K79)</f>
        <v>#VALUE!</v>
      </c>
      <c r="M79" s="204"/>
      <c r="N79" s="206" t="e">
        <f aca="false">L79+H79</f>
        <v>#VALUE!</v>
      </c>
      <c r="O79" s="206" t="e">
        <f aca="false">N79+Control!$C$39</f>
        <v>#VALUE!</v>
      </c>
      <c r="P79" s="207" t="e">
        <f aca="false">VLOOKUP($A79,CurveFetch!$D$8:$E$367,2)</f>
        <v>#VALUE!</v>
      </c>
      <c r="Q79" s="208" t="e">
        <f aca="false">P79</f>
        <v>#VALUE!</v>
      </c>
      <c r="R79" s="209" t="e">
        <f aca="true">A79-1-TODAY()</f>
        <v>#VALUE!</v>
      </c>
      <c r="S79" s="210" t="e">
        <f aca="false">VLOOKUP($A79,Curve_Fetch,VLOOKUP(Control!$AJ$10,Control!$AI$11:$AM$22,5))</f>
        <v>#VALUE!</v>
      </c>
      <c r="T79" s="211" t="e">
        <f aca="false">EURO(N79,O79,P79,Q79,S79,R79,IF(Control!$C$38="Call",1,0),0)</f>
        <v>#NAME?</v>
      </c>
      <c r="U79" s="174" t="e">
        <f aca="false">T79*B79*E79</f>
        <v>#VALUE!</v>
      </c>
      <c r="V79" s="212"/>
      <c r="W79" s="213"/>
      <c r="X79" s="213"/>
      <c r="Y79" s="213"/>
      <c r="AA79" s="214"/>
      <c r="AB79" s="214"/>
      <c r="AC79" s="215"/>
      <c r="AD79" s="216"/>
      <c r="AE79" s="217"/>
      <c r="AF79" s="218"/>
      <c r="AG79" s="219"/>
      <c r="AH79" s="220"/>
      <c r="AI79" s="174"/>
      <c r="AJ79" s="171" t="e">
        <f aca="false">Y79-L79</f>
        <v>#VALUE!</v>
      </c>
      <c r="AL79" s="208" t="e">
        <f aca="false">VLOOKUP($C79,Curve_Fetch,2)+Cost_of_Funds</f>
        <v>#VALUE!</v>
      </c>
      <c r="AM79" s="210" t="e">
        <f aca="false">1/(1+AL79/2)^(2*(C79-Val_Date)/365.25)</f>
        <v>#VALUE!</v>
      </c>
      <c r="AO79" s="222" t="e">
        <f aca="false">$B79*$E79*$AM79</f>
        <v>#VALUE!</v>
      </c>
      <c r="AP79" s="222"/>
      <c r="AQ79" s="222" t="e">
        <f aca="false">H79*AO79</f>
        <v>#VALUE!</v>
      </c>
      <c r="AR79" s="222"/>
      <c r="AS79" s="174" t="e">
        <f aca="false">J79*$AO79</f>
        <v>#VALUE!</v>
      </c>
      <c r="AT79" s="174" t="e">
        <f aca="false">K79*$AO79</f>
        <v>#VALUE!</v>
      </c>
      <c r="AU79" s="174" t="e">
        <f aca="false">L79*$AO79</f>
        <v>#VALUE!</v>
      </c>
      <c r="AV79" s="174"/>
      <c r="AW79" s="174"/>
      <c r="AY79" s="220"/>
      <c r="AZ79" s="220"/>
      <c r="BA79" s="223"/>
      <c r="BC79" s="220"/>
      <c r="BE79" s="206"/>
    </row>
    <row r="80" customFormat="false" ht="12.75" hidden="false" customHeight="false" outlineLevel="0" collapsed="false">
      <c r="A80" s="167" t="e">
        <f aca="false">([1]!edate,A79,1)</f>
        <v>#VALUE!</v>
      </c>
      <c r="B80" s="201" t="e">
        <f aca="false">A81-A80</f>
        <v>#VALUE!</v>
      </c>
      <c r="C80" s="202" t="e">
        <f aca="false">IF(Control!$F$18="Physical",Model!A81+24,Model!A81)</f>
        <v>#VALUE!</v>
      </c>
      <c r="E80" s="203" t="e">
        <f aca="false">IF($A80&lt;End_Date,IF(Control!$C$20="Flat",Control!$C$21,VLOOKUP(Model!$A80,Euro!$B$29:$D$182,3)),0)</f>
        <v>#VALUE!</v>
      </c>
      <c r="F80" s="203" t="e">
        <f aca="false">E80*B80</f>
        <v>#VALUE!</v>
      </c>
      <c r="H80" s="204" t="e">
        <f aca="false">IF(Control!$C$27="Mid",VLOOKUP($A80,CurveFetch!$D$8:$F$367,3),VLOOKUP($A80,Euro!$B$29:$I$182,8))</f>
        <v>#VALUE!</v>
      </c>
      <c r="I80" s="204"/>
      <c r="J80" s="204" t="e">
        <f aca="false">IF($J$4="Mid",VLOOKUP($A80,Curve_Fetch,VLOOKUP(Control!$AJ$10,Control!$AI$11:$AK$22,3)),VLOOKUP($A80,Euro!$B$29:$M$182,12))</f>
        <v>#VALUE!</v>
      </c>
      <c r="K80" s="205" t="e">
        <f aca="false">IF(Control!$F$18="Physical",IF($K$4="Mid",VLOOKUP($A80,Curve_Fetch,VLOOKUP(Control!$AJ$10,Control!$AI$11:$AL$22,4)),VLOOKUP($A80,Euro!$B$29:$Q$182,16)),0)</f>
        <v>#VALUE!</v>
      </c>
      <c r="L80" s="204" t="e">
        <f aca="false">SUM(J80:K80)</f>
        <v>#VALUE!</v>
      </c>
      <c r="M80" s="204"/>
      <c r="N80" s="206" t="e">
        <f aca="false">L80+H80</f>
        <v>#VALUE!</v>
      </c>
      <c r="O80" s="206" t="e">
        <f aca="false">N80+Control!$C$39</f>
        <v>#VALUE!</v>
      </c>
      <c r="P80" s="207" t="e">
        <f aca="false">VLOOKUP($A80,CurveFetch!$D$8:$E$367,2)</f>
        <v>#VALUE!</v>
      </c>
      <c r="Q80" s="208" t="e">
        <f aca="false">P80</f>
        <v>#VALUE!</v>
      </c>
      <c r="R80" s="209" t="e">
        <f aca="true">A80-1-TODAY()</f>
        <v>#VALUE!</v>
      </c>
      <c r="S80" s="210" t="e">
        <f aca="false">VLOOKUP($A80,Curve_Fetch,VLOOKUP(Control!$AJ$10,Control!$AI$11:$AM$22,5))</f>
        <v>#VALUE!</v>
      </c>
      <c r="T80" s="211" t="e">
        <f aca="false">EURO(N80,O80,P80,Q80,S80,R80,IF(Control!$C$38="Call",1,0),0)</f>
        <v>#NAME?</v>
      </c>
      <c r="U80" s="174" t="e">
        <f aca="false">T80*B80*E80</f>
        <v>#VALUE!</v>
      </c>
      <c r="V80" s="212"/>
      <c r="W80" s="213"/>
      <c r="X80" s="213"/>
      <c r="Y80" s="213"/>
      <c r="AA80" s="214"/>
      <c r="AB80" s="214"/>
      <c r="AC80" s="215"/>
      <c r="AD80" s="216"/>
      <c r="AE80" s="217"/>
      <c r="AF80" s="218"/>
      <c r="AG80" s="219"/>
      <c r="AH80" s="220"/>
      <c r="AI80" s="174"/>
      <c r="AJ80" s="171" t="e">
        <f aca="false">Y80-L80</f>
        <v>#VALUE!</v>
      </c>
      <c r="AL80" s="208" t="e">
        <f aca="false">VLOOKUP($C80,Curve_Fetch,2)+Cost_of_Funds</f>
        <v>#VALUE!</v>
      </c>
      <c r="AM80" s="210" t="e">
        <f aca="false">1/(1+AL80/2)^(2*(C80-Val_Date)/365.25)</f>
        <v>#VALUE!</v>
      </c>
      <c r="AO80" s="222" t="e">
        <f aca="false">$B80*$E80*$AM80</f>
        <v>#VALUE!</v>
      </c>
      <c r="AP80" s="222"/>
      <c r="AQ80" s="222" t="e">
        <f aca="false">H80*AO80</f>
        <v>#VALUE!</v>
      </c>
      <c r="AR80" s="222"/>
      <c r="AS80" s="174" t="e">
        <f aca="false">J80*$AO80</f>
        <v>#VALUE!</v>
      </c>
      <c r="AT80" s="174" t="e">
        <f aca="false">K80*$AO80</f>
        <v>#VALUE!</v>
      </c>
      <c r="AU80" s="174" t="e">
        <f aca="false">L80*$AO80</f>
        <v>#VALUE!</v>
      </c>
      <c r="AV80" s="174"/>
      <c r="AW80" s="174"/>
      <c r="AY80" s="220"/>
      <c r="AZ80" s="220"/>
      <c r="BA80" s="223"/>
      <c r="BC80" s="220"/>
      <c r="BE80" s="206"/>
    </row>
    <row r="81" customFormat="false" ht="12.75" hidden="false" customHeight="false" outlineLevel="0" collapsed="false">
      <c r="A81" s="167" t="e">
        <f aca="false">([1]!edate,A80,1)</f>
        <v>#VALUE!</v>
      </c>
      <c r="B81" s="201" t="e">
        <f aca="false">A82-A81</f>
        <v>#VALUE!</v>
      </c>
      <c r="C81" s="202" t="e">
        <f aca="false">IF(Control!$F$18="Physical",Model!A82+24,Model!A82)</f>
        <v>#VALUE!</v>
      </c>
      <c r="E81" s="203" t="e">
        <f aca="false">IF($A81&lt;End_Date,IF(Control!$C$20="Flat",Control!$C$21,VLOOKUP(Model!$A81,Euro!$B$29:$D$182,3)),0)</f>
        <v>#VALUE!</v>
      </c>
      <c r="F81" s="203" t="e">
        <f aca="false">E81*B81</f>
        <v>#VALUE!</v>
      </c>
      <c r="H81" s="204" t="e">
        <f aca="false">IF(Control!$C$27="Mid",VLOOKUP($A81,CurveFetch!$D$8:$F$367,3),VLOOKUP($A81,Euro!$B$29:$I$182,8))</f>
        <v>#VALUE!</v>
      </c>
      <c r="I81" s="204"/>
      <c r="J81" s="204" t="e">
        <f aca="false">IF($J$4="Mid",VLOOKUP($A81,Curve_Fetch,VLOOKUP(Control!$AJ$10,Control!$AI$11:$AK$22,3)),VLOOKUP($A81,Euro!$B$29:$M$182,12))</f>
        <v>#VALUE!</v>
      </c>
      <c r="K81" s="205" t="e">
        <f aca="false">IF(Control!$F$18="Physical",IF($K$4="Mid",VLOOKUP($A81,Curve_Fetch,VLOOKUP(Control!$AJ$10,Control!$AI$11:$AL$22,4)),VLOOKUP($A81,Euro!$B$29:$Q$182,16)),0)</f>
        <v>#VALUE!</v>
      </c>
      <c r="L81" s="204" t="e">
        <f aca="false">SUM(J81:K81)</f>
        <v>#VALUE!</v>
      </c>
      <c r="M81" s="204"/>
      <c r="N81" s="206" t="e">
        <f aca="false">L81+H81</f>
        <v>#VALUE!</v>
      </c>
      <c r="O81" s="206" t="e">
        <f aca="false">N81+Control!$C$39</f>
        <v>#VALUE!</v>
      </c>
      <c r="P81" s="207" t="e">
        <f aca="false">VLOOKUP($A81,CurveFetch!$D$8:$E$367,2)</f>
        <v>#VALUE!</v>
      </c>
      <c r="Q81" s="208" t="e">
        <f aca="false">P81</f>
        <v>#VALUE!</v>
      </c>
      <c r="R81" s="209" t="e">
        <f aca="true">A81-1-TODAY()</f>
        <v>#VALUE!</v>
      </c>
      <c r="S81" s="210" t="e">
        <f aca="false">VLOOKUP($A81,Curve_Fetch,VLOOKUP(Control!$AJ$10,Control!$AI$11:$AM$22,5))</f>
        <v>#VALUE!</v>
      </c>
      <c r="T81" s="211" t="e">
        <f aca="false">EURO(N81,O81,P81,Q81,S81,R81,IF(Control!$C$38="Call",1,0),0)</f>
        <v>#NAME?</v>
      </c>
      <c r="U81" s="174" t="e">
        <f aca="false">T81*B81*E81</f>
        <v>#VALUE!</v>
      </c>
      <c r="V81" s="212"/>
      <c r="W81" s="213"/>
      <c r="X81" s="213"/>
      <c r="Y81" s="213"/>
      <c r="AA81" s="214"/>
      <c r="AB81" s="214"/>
      <c r="AC81" s="215"/>
      <c r="AD81" s="216"/>
      <c r="AE81" s="217"/>
      <c r="AF81" s="218"/>
      <c r="AG81" s="219"/>
      <c r="AH81" s="220"/>
      <c r="AI81" s="174"/>
      <c r="AJ81" s="171" t="e">
        <f aca="false">Y81-L81</f>
        <v>#VALUE!</v>
      </c>
      <c r="AL81" s="208" t="e">
        <f aca="false">VLOOKUP($C81,Curve_Fetch,2)+Cost_of_Funds</f>
        <v>#VALUE!</v>
      </c>
      <c r="AM81" s="210" t="e">
        <f aca="false">1/(1+AL81/2)^(2*(C81-Val_Date)/365.25)</f>
        <v>#VALUE!</v>
      </c>
      <c r="AO81" s="222" t="e">
        <f aca="false">$B81*$E81*$AM81</f>
        <v>#VALUE!</v>
      </c>
      <c r="AP81" s="222"/>
      <c r="AQ81" s="222" t="e">
        <f aca="false">H81*AO81</f>
        <v>#VALUE!</v>
      </c>
      <c r="AR81" s="222"/>
      <c r="AS81" s="174" t="e">
        <f aca="false">J81*$AO81</f>
        <v>#VALUE!</v>
      </c>
      <c r="AT81" s="174" t="e">
        <f aca="false">K81*$AO81</f>
        <v>#VALUE!</v>
      </c>
      <c r="AU81" s="174" t="e">
        <f aca="false">L81*$AO81</f>
        <v>#VALUE!</v>
      </c>
      <c r="AV81" s="174"/>
      <c r="AW81" s="174"/>
      <c r="AY81" s="220"/>
      <c r="AZ81" s="220"/>
      <c r="BA81" s="223"/>
      <c r="BC81" s="220"/>
      <c r="BE81" s="206"/>
    </row>
    <row r="82" customFormat="false" ht="12.75" hidden="false" customHeight="false" outlineLevel="0" collapsed="false">
      <c r="A82" s="167" t="e">
        <f aca="false">([1]!edate,A81,1)</f>
        <v>#VALUE!</v>
      </c>
      <c r="B82" s="201" t="e">
        <f aca="false">A83-A82</f>
        <v>#VALUE!</v>
      </c>
      <c r="C82" s="202" t="e">
        <f aca="false">IF(Control!$F$18="Physical",Model!A83+24,Model!A83)</f>
        <v>#VALUE!</v>
      </c>
      <c r="E82" s="203" t="e">
        <f aca="false">IF($A82&lt;End_Date,IF(Control!$C$20="Flat",Control!$C$21,VLOOKUP(Model!$A82,Euro!$B$29:$D$182,3)),0)</f>
        <v>#VALUE!</v>
      </c>
      <c r="F82" s="203" t="e">
        <f aca="false">E82*B82</f>
        <v>#VALUE!</v>
      </c>
      <c r="H82" s="204" t="e">
        <f aca="false">IF(Control!$C$27="Mid",VLOOKUP($A82,CurveFetch!$D$8:$F$367,3),VLOOKUP($A82,Euro!$B$29:$I$182,8))</f>
        <v>#VALUE!</v>
      </c>
      <c r="I82" s="204"/>
      <c r="J82" s="204" t="e">
        <f aca="false">IF($J$4="Mid",VLOOKUP($A82,Curve_Fetch,VLOOKUP(Control!$AJ$10,Control!$AI$11:$AK$22,3)),VLOOKUP($A82,Euro!$B$29:$M$182,12))</f>
        <v>#VALUE!</v>
      </c>
      <c r="K82" s="205" t="e">
        <f aca="false">IF(Control!$F$18="Physical",IF($K$4="Mid",VLOOKUP($A82,Curve_Fetch,VLOOKUP(Control!$AJ$10,Control!$AI$11:$AL$22,4)),VLOOKUP($A82,Euro!$B$29:$Q$182,16)),0)</f>
        <v>#VALUE!</v>
      </c>
      <c r="L82" s="204" t="e">
        <f aca="false">SUM(J82:K82)</f>
        <v>#VALUE!</v>
      </c>
      <c r="M82" s="204"/>
      <c r="N82" s="206" t="e">
        <f aca="false">L82+H82</f>
        <v>#VALUE!</v>
      </c>
      <c r="O82" s="206" t="e">
        <f aca="false">N82+Control!$C$39</f>
        <v>#VALUE!</v>
      </c>
      <c r="P82" s="207" t="e">
        <f aca="false">VLOOKUP($A82,CurveFetch!$D$8:$E$367,2)</f>
        <v>#VALUE!</v>
      </c>
      <c r="Q82" s="208" t="e">
        <f aca="false">P82</f>
        <v>#VALUE!</v>
      </c>
      <c r="R82" s="209" t="e">
        <f aca="true">A82-1-TODAY()</f>
        <v>#VALUE!</v>
      </c>
      <c r="S82" s="210" t="e">
        <f aca="false">VLOOKUP($A82,Curve_Fetch,VLOOKUP(Control!$AJ$10,Control!$AI$11:$AM$22,5))</f>
        <v>#VALUE!</v>
      </c>
      <c r="T82" s="211" t="e">
        <f aca="false">EURO(N82,O82,P82,Q82,S82,R82,IF(Control!$C$38="Call",1,0),0)</f>
        <v>#NAME?</v>
      </c>
      <c r="U82" s="174" t="e">
        <f aca="false">T82*B82*E82</f>
        <v>#VALUE!</v>
      </c>
      <c r="V82" s="212"/>
      <c r="W82" s="213"/>
      <c r="X82" s="213"/>
      <c r="Y82" s="213"/>
      <c r="AA82" s="214"/>
      <c r="AB82" s="214"/>
      <c r="AC82" s="215"/>
      <c r="AD82" s="216"/>
      <c r="AE82" s="217"/>
      <c r="AF82" s="218"/>
      <c r="AG82" s="219"/>
      <c r="AH82" s="220"/>
      <c r="AI82" s="174"/>
      <c r="AJ82" s="171" t="e">
        <f aca="false">Y82-L82</f>
        <v>#VALUE!</v>
      </c>
      <c r="AL82" s="208" t="e">
        <f aca="false">VLOOKUP($C82,Curve_Fetch,2)+Cost_of_Funds</f>
        <v>#VALUE!</v>
      </c>
      <c r="AM82" s="210" t="e">
        <f aca="false">1/(1+AL82/2)^(2*(C82-Val_Date)/365.25)</f>
        <v>#VALUE!</v>
      </c>
      <c r="AO82" s="222" t="e">
        <f aca="false">$B82*$E82*$AM82</f>
        <v>#VALUE!</v>
      </c>
      <c r="AP82" s="222"/>
      <c r="AQ82" s="222" t="e">
        <f aca="false">H82*AO82</f>
        <v>#VALUE!</v>
      </c>
      <c r="AR82" s="222"/>
      <c r="AS82" s="174" t="e">
        <f aca="false">J82*$AO82</f>
        <v>#VALUE!</v>
      </c>
      <c r="AT82" s="174" t="e">
        <f aca="false">K82*$AO82</f>
        <v>#VALUE!</v>
      </c>
      <c r="AU82" s="174" t="e">
        <f aca="false">L82*$AO82</f>
        <v>#VALUE!</v>
      </c>
      <c r="AV82" s="174"/>
      <c r="AW82" s="174"/>
      <c r="AY82" s="220"/>
      <c r="AZ82" s="220"/>
      <c r="BA82" s="223"/>
      <c r="BC82" s="220"/>
      <c r="BE82" s="206"/>
    </row>
    <row r="83" customFormat="false" ht="12.75" hidden="false" customHeight="false" outlineLevel="0" collapsed="false">
      <c r="A83" s="167" t="e">
        <f aca="false">([1]!edate,A82,1)</f>
        <v>#VALUE!</v>
      </c>
      <c r="B83" s="201" t="e">
        <f aca="false">A84-A83</f>
        <v>#VALUE!</v>
      </c>
      <c r="C83" s="202" t="e">
        <f aca="false">IF(Control!$F$18="Physical",Model!A84+24,Model!A84)</f>
        <v>#VALUE!</v>
      </c>
      <c r="E83" s="203" t="e">
        <f aca="false">IF($A83&lt;End_Date,IF(Control!$C$20="Flat",Control!$C$21,VLOOKUP(Model!$A83,Euro!$B$29:$D$182,3)),0)</f>
        <v>#VALUE!</v>
      </c>
      <c r="F83" s="203" t="e">
        <f aca="false">E83*B83</f>
        <v>#VALUE!</v>
      </c>
      <c r="H83" s="204" t="e">
        <f aca="false">IF(Control!$C$27="Mid",VLOOKUP($A83,CurveFetch!$D$8:$F$367,3),VLOOKUP($A83,Euro!$B$29:$I$182,8))</f>
        <v>#VALUE!</v>
      </c>
      <c r="I83" s="204"/>
      <c r="J83" s="204" t="e">
        <f aca="false">IF($J$4="Mid",VLOOKUP($A83,Curve_Fetch,VLOOKUP(Control!$AJ$10,Control!$AI$11:$AK$22,3)),VLOOKUP($A83,Euro!$B$29:$M$182,12))</f>
        <v>#VALUE!</v>
      </c>
      <c r="K83" s="205" t="e">
        <f aca="false">IF(Control!$F$18="Physical",IF($K$4="Mid",VLOOKUP($A83,Curve_Fetch,VLOOKUP(Control!$AJ$10,Control!$AI$11:$AL$22,4)),VLOOKUP($A83,Euro!$B$29:$Q$182,16)),0)</f>
        <v>#VALUE!</v>
      </c>
      <c r="L83" s="204" t="e">
        <f aca="false">SUM(J83:K83)</f>
        <v>#VALUE!</v>
      </c>
      <c r="M83" s="204"/>
      <c r="N83" s="206" t="e">
        <f aca="false">L83+H83</f>
        <v>#VALUE!</v>
      </c>
      <c r="O83" s="206" t="e">
        <f aca="false">N83+Control!$C$39</f>
        <v>#VALUE!</v>
      </c>
      <c r="P83" s="207" t="e">
        <f aca="false">VLOOKUP($A83,CurveFetch!$D$8:$E$367,2)</f>
        <v>#VALUE!</v>
      </c>
      <c r="Q83" s="208" t="e">
        <f aca="false">P83</f>
        <v>#VALUE!</v>
      </c>
      <c r="R83" s="209" t="e">
        <f aca="true">A83-1-TODAY()</f>
        <v>#VALUE!</v>
      </c>
      <c r="S83" s="210" t="e">
        <f aca="false">VLOOKUP($A83,Curve_Fetch,VLOOKUP(Control!$AJ$10,Control!$AI$11:$AM$22,5))</f>
        <v>#VALUE!</v>
      </c>
      <c r="T83" s="211" t="e">
        <f aca="false">EURO(N83,O83,P83,Q83,S83,R83,IF(Control!$C$38="Call",1,0),0)</f>
        <v>#NAME?</v>
      </c>
      <c r="U83" s="174" t="e">
        <f aca="false">T83*B83*E83</f>
        <v>#VALUE!</v>
      </c>
      <c r="V83" s="212"/>
      <c r="W83" s="213"/>
      <c r="X83" s="213"/>
      <c r="Y83" s="213"/>
      <c r="AA83" s="214"/>
      <c r="AB83" s="214"/>
      <c r="AC83" s="215"/>
      <c r="AD83" s="216"/>
      <c r="AE83" s="217"/>
      <c r="AF83" s="218"/>
      <c r="AG83" s="219"/>
      <c r="AH83" s="220"/>
      <c r="AI83" s="174"/>
      <c r="AJ83" s="171" t="e">
        <f aca="false">Y83-L83</f>
        <v>#VALUE!</v>
      </c>
      <c r="AL83" s="208" t="e">
        <f aca="false">VLOOKUP($C83,Curve_Fetch,2)+Cost_of_Funds</f>
        <v>#VALUE!</v>
      </c>
      <c r="AM83" s="210" t="e">
        <f aca="false">1/(1+AL83/2)^(2*(C83-Val_Date)/365.25)</f>
        <v>#VALUE!</v>
      </c>
      <c r="AO83" s="222" t="e">
        <f aca="false">$B83*$E83*$AM83</f>
        <v>#VALUE!</v>
      </c>
      <c r="AP83" s="222"/>
      <c r="AQ83" s="222" t="e">
        <f aca="false">H83*AO83</f>
        <v>#VALUE!</v>
      </c>
      <c r="AR83" s="222"/>
      <c r="AS83" s="174" t="e">
        <f aca="false">J83*$AO83</f>
        <v>#VALUE!</v>
      </c>
      <c r="AT83" s="174" t="e">
        <f aca="false">K83*$AO83</f>
        <v>#VALUE!</v>
      </c>
      <c r="AU83" s="174" t="e">
        <f aca="false">L83*$AO83</f>
        <v>#VALUE!</v>
      </c>
      <c r="AV83" s="174"/>
      <c r="AW83" s="174"/>
      <c r="AY83" s="220"/>
      <c r="AZ83" s="220"/>
      <c r="BA83" s="223"/>
      <c r="BC83" s="220"/>
      <c r="BE83" s="206"/>
    </row>
    <row r="84" customFormat="false" ht="12.75" hidden="false" customHeight="false" outlineLevel="0" collapsed="false">
      <c r="A84" s="167" t="e">
        <f aca="false">([1]!edate,A83,1)</f>
        <v>#VALUE!</v>
      </c>
      <c r="B84" s="201" t="e">
        <f aca="false">A85-A84</f>
        <v>#VALUE!</v>
      </c>
      <c r="C84" s="202" t="e">
        <f aca="false">IF(Control!$F$18="Physical",Model!A85+24,Model!A85)</f>
        <v>#VALUE!</v>
      </c>
      <c r="E84" s="203" t="e">
        <f aca="false">IF($A84&lt;End_Date,IF(Control!$C$20="Flat",Control!$C$21,VLOOKUP(Model!$A84,Euro!$B$29:$D$182,3)),0)</f>
        <v>#VALUE!</v>
      </c>
      <c r="F84" s="203" t="e">
        <f aca="false">E84*B84</f>
        <v>#VALUE!</v>
      </c>
      <c r="H84" s="204" t="e">
        <f aca="false">IF(Control!$C$27="Mid",VLOOKUP($A84,CurveFetch!$D$8:$F$367,3),VLOOKUP($A84,Euro!$B$29:$I$182,8))</f>
        <v>#VALUE!</v>
      </c>
      <c r="I84" s="204"/>
      <c r="J84" s="204" t="e">
        <f aca="false">IF($J$4="Mid",VLOOKUP($A84,Curve_Fetch,VLOOKUP(Control!$AJ$10,Control!$AI$11:$AK$22,3)),VLOOKUP($A84,Euro!$B$29:$M$182,12))</f>
        <v>#VALUE!</v>
      </c>
      <c r="K84" s="205" t="e">
        <f aca="false">IF(Control!$F$18="Physical",IF($K$4="Mid",VLOOKUP($A84,Curve_Fetch,VLOOKUP(Control!$AJ$10,Control!$AI$11:$AL$22,4)),VLOOKUP($A84,Euro!$B$29:$Q$182,16)),0)</f>
        <v>#VALUE!</v>
      </c>
      <c r="L84" s="204" t="e">
        <f aca="false">SUM(J84:K84)</f>
        <v>#VALUE!</v>
      </c>
      <c r="M84" s="204"/>
      <c r="N84" s="206" t="e">
        <f aca="false">L84+H84</f>
        <v>#VALUE!</v>
      </c>
      <c r="O84" s="206" t="e">
        <f aca="false">N84+Control!$C$39</f>
        <v>#VALUE!</v>
      </c>
      <c r="P84" s="207" t="e">
        <f aca="false">VLOOKUP($A84,CurveFetch!$D$8:$E$367,2)</f>
        <v>#VALUE!</v>
      </c>
      <c r="Q84" s="208" t="e">
        <f aca="false">P84</f>
        <v>#VALUE!</v>
      </c>
      <c r="R84" s="209" t="e">
        <f aca="true">A84-1-TODAY()</f>
        <v>#VALUE!</v>
      </c>
      <c r="S84" s="210" t="e">
        <f aca="false">VLOOKUP($A84,Curve_Fetch,VLOOKUP(Control!$AJ$10,Control!$AI$11:$AM$22,5))</f>
        <v>#VALUE!</v>
      </c>
      <c r="T84" s="211" t="e">
        <f aca="false">EURO(N84,O84,P84,Q84,S84,R84,IF(Control!$C$38="Call",1,0),0)</f>
        <v>#NAME?</v>
      </c>
      <c r="U84" s="174" t="e">
        <f aca="false">T84*B84*E84</f>
        <v>#VALUE!</v>
      </c>
      <c r="V84" s="212"/>
      <c r="W84" s="213"/>
      <c r="X84" s="213"/>
      <c r="Y84" s="213"/>
      <c r="AA84" s="214"/>
      <c r="AB84" s="214"/>
      <c r="AC84" s="215"/>
      <c r="AD84" s="216"/>
      <c r="AE84" s="217"/>
      <c r="AF84" s="218"/>
      <c r="AG84" s="219"/>
      <c r="AH84" s="220"/>
      <c r="AI84" s="174"/>
      <c r="AJ84" s="171" t="e">
        <f aca="false">Y84-L84</f>
        <v>#VALUE!</v>
      </c>
      <c r="AL84" s="208" t="e">
        <f aca="false">VLOOKUP($C84,Curve_Fetch,2)+Cost_of_Funds</f>
        <v>#VALUE!</v>
      </c>
      <c r="AM84" s="210" t="e">
        <f aca="false">1/(1+AL84/2)^(2*(C84-Val_Date)/365.25)</f>
        <v>#VALUE!</v>
      </c>
      <c r="AO84" s="222" t="e">
        <f aca="false">$B84*$E84*$AM84</f>
        <v>#VALUE!</v>
      </c>
      <c r="AP84" s="222"/>
      <c r="AQ84" s="222" t="e">
        <f aca="false">H84*AO84</f>
        <v>#VALUE!</v>
      </c>
      <c r="AR84" s="222"/>
      <c r="AS84" s="174" t="e">
        <f aca="false">J84*$AO84</f>
        <v>#VALUE!</v>
      </c>
      <c r="AT84" s="174" t="e">
        <f aca="false">K84*$AO84</f>
        <v>#VALUE!</v>
      </c>
      <c r="AU84" s="174" t="e">
        <f aca="false">L84*$AO84</f>
        <v>#VALUE!</v>
      </c>
      <c r="AV84" s="174"/>
      <c r="AW84" s="174"/>
      <c r="AY84" s="220"/>
      <c r="AZ84" s="220"/>
      <c r="BA84" s="223"/>
      <c r="BC84" s="220"/>
      <c r="BE84" s="206"/>
    </row>
    <row r="85" customFormat="false" ht="12.75" hidden="false" customHeight="false" outlineLevel="0" collapsed="false">
      <c r="A85" s="167" t="e">
        <f aca="false">([1]!edate,A84,1)</f>
        <v>#VALUE!</v>
      </c>
      <c r="B85" s="201" t="e">
        <f aca="false">A86-A85</f>
        <v>#VALUE!</v>
      </c>
      <c r="C85" s="202" t="e">
        <f aca="false">IF(Control!$F$18="Physical",Model!A86+24,Model!A86)</f>
        <v>#VALUE!</v>
      </c>
      <c r="E85" s="203" t="e">
        <f aca="false">IF($A85&lt;End_Date,IF(Control!$C$20="Flat",Control!$C$21,VLOOKUP(Model!$A85,Euro!$B$29:$D$182,3)),0)</f>
        <v>#VALUE!</v>
      </c>
      <c r="F85" s="203" t="e">
        <f aca="false">E85*B85</f>
        <v>#VALUE!</v>
      </c>
      <c r="H85" s="204" t="e">
        <f aca="false">IF(Control!$C$27="Mid",VLOOKUP($A85,CurveFetch!$D$8:$F$367,3),VLOOKUP($A85,Euro!$B$29:$I$182,8))</f>
        <v>#VALUE!</v>
      </c>
      <c r="I85" s="204"/>
      <c r="J85" s="204" t="e">
        <f aca="false">IF($J$4="Mid",VLOOKUP($A85,Curve_Fetch,VLOOKUP(Control!$AJ$10,Control!$AI$11:$AK$22,3)),VLOOKUP($A85,Euro!$B$29:$M$182,12))</f>
        <v>#VALUE!</v>
      </c>
      <c r="K85" s="205" t="e">
        <f aca="false">IF(Control!$F$18="Physical",IF($K$4="Mid",VLOOKUP($A85,Curve_Fetch,VLOOKUP(Control!$AJ$10,Control!$AI$11:$AL$22,4)),VLOOKUP($A85,Euro!$B$29:$Q$182,16)),0)</f>
        <v>#VALUE!</v>
      </c>
      <c r="L85" s="204" t="e">
        <f aca="false">SUM(J85:K85)</f>
        <v>#VALUE!</v>
      </c>
      <c r="M85" s="204"/>
      <c r="N85" s="206" t="e">
        <f aca="false">L85+H85</f>
        <v>#VALUE!</v>
      </c>
      <c r="O85" s="206" t="e">
        <f aca="false">N85+Control!$C$39</f>
        <v>#VALUE!</v>
      </c>
      <c r="P85" s="207" t="e">
        <f aca="false">VLOOKUP($A85,CurveFetch!$D$8:$E$367,2)</f>
        <v>#VALUE!</v>
      </c>
      <c r="Q85" s="208" t="e">
        <f aca="false">P85</f>
        <v>#VALUE!</v>
      </c>
      <c r="R85" s="209" t="e">
        <f aca="true">A85-1-TODAY()</f>
        <v>#VALUE!</v>
      </c>
      <c r="S85" s="210" t="e">
        <f aca="false">VLOOKUP($A85,Curve_Fetch,VLOOKUP(Control!$AJ$10,Control!$AI$11:$AM$22,5))</f>
        <v>#VALUE!</v>
      </c>
      <c r="T85" s="211" t="e">
        <f aca="false">EURO(N85,O85,P85,Q85,S85,R85,IF(Control!$C$38="Call",1,0),0)</f>
        <v>#NAME?</v>
      </c>
      <c r="U85" s="174" t="e">
        <f aca="false">T85*B85*E85</f>
        <v>#VALUE!</v>
      </c>
      <c r="V85" s="212"/>
      <c r="W85" s="213"/>
      <c r="X85" s="213"/>
      <c r="Y85" s="213"/>
      <c r="AA85" s="214"/>
      <c r="AB85" s="214"/>
      <c r="AC85" s="215"/>
      <c r="AD85" s="216"/>
      <c r="AE85" s="217"/>
      <c r="AF85" s="218"/>
      <c r="AG85" s="219"/>
      <c r="AH85" s="220"/>
      <c r="AI85" s="174"/>
      <c r="AJ85" s="171" t="e">
        <f aca="false">Y85-L85</f>
        <v>#VALUE!</v>
      </c>
      <c r="AL85" s="208" t="e">
        <f aca="false">VLOOKUP($C85,Curve_Fetch,2)+Cost_of_Funds</f>
        <v>#VALUE!</v>
      </c>
      <c r="AM85" s="210" t="e">
        <f aca="false">1/(1+AL85/2)^(2*(C85-Val_Date)/365.25)</f>
        <v>#VALUE!</v>
      </c>
      <c r="AO85" s="222" t="e">
        <f aca="false">$B85*$E85*$AM85</f>
        <v>#VALUE!</v>
      </c>
      <c r="AP85" s="222"/>
      <c r="AQ85" s="222" t="e">
        <f aca="false">H85*AO85</f>
        <v>#VALUE!</v>
      </c>
      <c r="AR85" s="222"/>
      <c r="AS85" s="174" t="e">
        <f aca="false">J85*$AO85</f>
        <v>#VALUE!</v>
      </c>
      <c r="AT85" s="174" t="e">
        <f aca="false">K85*$AO85</f>
        <v>#VALUE!</v>
      </c>
      <c r="AU85" s="174" t="e">
        <f aca="false">L85*$AO85</f>
        <v>#VALUE!</v>
      </c>
      <c r="AV85" s="174"/>
      <c r="AW85" s="174"/>
      <c r="AY85" s="220"/>
      <c r="AZ85" s="220"/>
      <c r="BA85" s="223"/>
      <c r="BC85" s="220"/>
      <c r="BE85" s="206"/>
    </row>
    <row r="86" customFormat="false" ht="12.75" hidden="false" customHeight="false" outlineLevel="0" collapsed="false">
      <c r="A86" s="167" t="e">
        <f aca="false">([1]!edate,A85,1)</f>
        <v>#VALUE!</v>
      </c>
      <c r="B86" s="201" t="e">
        <f aca="false">A87-A86</f>
        <v>#VALUE!</v>
      </c>
      <c r="C86" s="202" t="e">
        <f aca="false">IF(Control!$F$18="Physical",Model!A87+24,Model!A87)</f>
        <v>#VALUE!</v>
      </c>
      <c r="E86" s="203" t="e">
        <f aca="false">IF($A86&lt;End_Date,IF(Control!$C$20="Flat",Control!$C$21,VLOOKUP(Model!$A86,Euro!$B$29:$D$182,3)),0)</f>
        <v>#VALUE!</v>
      </c>
      <c r="F86" s="203" t="e">
        <f aca="false">E86*B86</f>
        <v>#VALUE!</v>
      </c>
      <c r="H86" s="204" t="e">
        <f aca="false">IF(Control!$C$27="Mid",VLOOKUP($A86,CurveFetch!$D$8:$F$367,3),VLOOKUP($A86,Euro!$B$29:$I$182,8))</f>
        <v>#VALUE!</v>
      </c>
      <c r="I86" s="204"/>
      <c r="J86" s="204" t="e">
        <f aca="false">IF($J$4="Mid",VLOOKUP($A86,Curve_Fetch,VLOOKUP(Control!$AJ$10,Control!$AI$11:$AK$22,3)),VLOOKUP($A86,Euro!$B$29:$M$182,12))</f>
        <v>#VALUE!</v>
      </c>
      <c r="K86" s="205" t="e">
        <f aca="false">IF(Control!$F$18="Physical",IF($K$4="Mid",VLOOKUP($A86,Curve_Fetch,VLOOKUP(Control!$AJ$10,Control!$AI$11:$AL$22,4)),VLOOKUP($A86,Euro!$B$29:$Q$182,16)),0)</f>
        <v>#VALUE!</v>
      </c>
      <c r="L86" s="204" t="e">
        <f aca="false">SUM(J86:K86)</f>
        <v>#VALUE!</v>
      </c>
      <c r="M86" s="204"/>
      <c r="N86" s="206" t="e">
        <f aca="false">L86+H86</f>
        <v>#VALUE!</v>
      </c>
      <c r="O86" s="206" t="e">
        <f aca="false">N86+Control!$C$39</f>
        <v>#VALUE!</v>
      </c>
      <c r="P86" s="207" t="e">
        <f aca="false">VLOOKUP($A86,CurveFetch!$D$8:$E$367,2)</f>
        <v>#VALUE!</v>
      </c>
      <c r="Q86" s="208" t="e">
        <f aca="false">P86</f>
        <v>#VALUE!</v>
      </c>
      <c r="R86" s="209" t="e">
        <f aca="true">A86-1-TODAY()</f>
        <v>#VALUE!</v>
      </c>
      <c r="S86" s="210" t="e">
        <f aca="false">VLOOKUP($A86,Curve_Fetch,VLOOKUP(Control!$AJ$10,Control!$AI$11:$AM$22,5))</f>
        <v>#VALUE!</v>
      </c>
      <c r="T86" s="211" t="e">
        <f aca="false">EURO(N86,O86,P86,Q86,S86,R86,IF(Control!$C$38="Call",1,0),0)</f>
        <v>#NAME?</v>
      </c>
      <c r="U86" s="174" t="e">
        <f aca="false">T86*B86*E86</f>
        <v>#VALUE!</v>
      </c>
      <c r="V86" s="212"/>
      <c r="W86" s="213"/>
      <c r="X86" s="213"/>
      <c r="Y86" s="213"/>
      <c r="AA86" s="214"/>
      <c r="AB86" s="214"/>
      <c r="AC86" s="215"/>
      <c r="AD86" s="216"/>
      <c r="AE86" s="217"/>
      <c r="AF86" s="218"/>
      <c r="AG86" s="219"/>
      <c r="AH86" s="220"/>
      <c r="AI86" s="174"/>
      <c r="AJ86" s="171" t="e">
        <f aca="false">Y86-L86</f>
        <v>#VALUE!</v>
      </c>
      <c r="AL86" s="208" t="e">
        <f aca="false">VLOOKUP($C86,Curve_Fetch,2)+Cost_of_Funds</f>
        <v>#VALUE!</v>
      </c>
      <c r="AM86" s="210" t="e">
        <f aca="false">1/(1+AL86/2)^(2*(C86-Val_Date)/365.25)</f>
        <v>#VALUE!</v>
      </c>
      <c r="AO86" s="222" t="e">
        <f aca="false">$B86*$E86*$AM86</f>
        <v>#VALUE!</v>
      </c>
      <c r="AP86" s="222"/>
      <c r="AQ86" s="222" t="e">
        <f aca="false">H86*AO86</f>
        <v>#VALUE!</v>
      </c>
      <c r="AR86" s="222"/>
      <c r="AS86" s="174" t="e">
        <f aca="false">J86*$AO86</f>
        <v>#VALUE!</v>
      </c>
      <c r="AT86" s="174" t="e">
        <f aca="false">K86*$AO86</f>
        <v>#VALUE!</v>
      </c>
      <c r="AU86" s="174" t="e">
        <f aca="false">L86*$AO86</f>
        <v>#VALUE!</v>
      </c>
      <c r="AV86" s="174"/>
      <c r="AW86" s="174"/>
      <c r="AY86" s="220"/>
      <c r="AZ86" s="220"/>
      <c r="BA86" s="223"/>
      <c r="BC86" s="220"/>
      <c r="BE86" s="206"/>
    </row>
    <row r="87" customFormat="false" ht="12.75" hidden="false" customHeight="false" outlineLevel="0" collapsed="false">
      <c r="A87" s="167" t="e">
        <f aca="false">([1]!edate,A86,1)</f>
        <v>#VALUE!</v>
      </c>
      <c r="B87" s="201" t="e">
        <f aca="false">A88-A87</f>
        <v>#VALUE!</v>
      </c>
      <c r="C87" s="202" t="e">
        <f aca="false">IF(Control!$F$18="Physical",Model!A88+24,Model!A88)</f>
        <v>#VALUE!</v>
      </c>
      <c r="E87" s="203" t="e">
        <f aca="false">IF($A87&lt;End_Date,IF(Control!$C$20="Flat",Control!$C$21,VLOOKUP(Model!$A87,Euro!$B$29:$D$182,3)),0)</f>
        <v>#VALUE!</v>
      </c>
      <c r="F87" s="203" t="e">
        <f aca="false">E87*B87</f>
        <v>#VALUE!</v>
      </c>
      <c r="H87" s="204" t="e">
        <f aca="false">IF(Control!$C$27="Mid",VLOOKUP($A87,CurveFetch!$D$8:$F$367,3),VLOOKUP($A87,Euro!$B$29:$I$182,8))</f>
        <v>#VALUE!</v>
      </c>
      <c r="I87" s="204"/>
      <c r="J87" s="204" t="e">
        <f aca="false">IF($J$4="Mid",VLOOKUP($A87,Curve_Fetch,VLOOKUP(Control!$AJ$10,Control!$AI$11:$AK$22,3)),VLOOKUP($A87,Euro!$B$29:$M$182,12))</f>
        <v>#VALUE!</v>
      </c>
      <c r="K87" s="205" t="e">
        <f aca="false">IF(Control!$F$18="Physical",IF($K$4="Mid",VLOOKUP($A87,Curve_Fetch,VLOOKUP(Control!$AJ$10,Control!$AI$11:$AL$22,4)),VLOOKUP($A87,Euro!$B$29:$Q$182,16)),0)</f>
        <v>#VALUE!</v>
      </c>
      <c r="L87" s="204" t="e">
        <f aca="false">SUM(J87:K87)</f>
        <v>#VALUE!</v>
      </c>
      <c r="M87" s="204"/>
      <c r="N87" s="206" t="e">
        <f aca="false">L87+H87</f>
        <v>#VALUE!</v>
      </c>
      <c r="O87" s="206" t="e">
        <f aca="false">N87+Control!$C$39</f>
        <v>#VALUE!</v>
      </c>
      <c r="P87" s="207" t="e">
        <f aca="false">VLOOKUP($A87,CurveFetch!$D$8:$E$367,2)</f>
        <v>#VALUE!</v>
      </c>
      <c r="Q87" s="208" t="e">
        <f aca="false">P87</f>
        <v>#VALUE!</v>
      </c>
      <c r="R87" s="209" t="e">
        <f aca="true">A87-1-TODAY()</f>
        <v>#VALUE!</v>
      </c>
      <c r="S87" s="210" t="e">
        <f aca="false">VLOOKUP($A87,Curve_Fetch,VLOOKUP(Control!$AJ$10,Control!$AI$11:$AM$22,5))</f>
        <v>#VALUE!</v>
      </c>
      <c r="T87" s="211" t="e">
        <f aca="false">EURO(N87,O87,P87,Q87,S87,R87,IF(Control!$C$38="Call",1,0),0)</f>
        <v>#NAME?</v>
      </c>
      <c r="U87" s="174" t="e">
        <f aca="false">T87*B87*E87</f>
        <v>#VALUE!</v>
      </c>
      <c r="V87" s="212"/>
      <c r="W87" s="213"/>
      <c r="X87" s="213"/>
      <c r="Y87" s="213"/>
      <c r="AA87" s="214"/>
      <c r="AB87" s="214"/>
      <c r="AC87" s="215"/>
      <c r="AD87" s="216"/>
      <c r="AE87" s="217"/>
      <c r="AF87" s="218"/>
      <c r="AG87" s="219"/>
      <c r="AH87" s="220"/>
      <c r="AI87" s="174"/>
      <c r="AJ87" s="171" t="e">
        <f aca="false">Y87-L87</f>
        <v>#VALUE!</v>
      </c>
      <c r="AL87" s="208" t="e">
        <f aca="false">VLOOKUP($C87,Curve_Fetch,2)+Cost_of_Funds</f>
        <v>#VALUE!</v>
      </c>
      <c r="AM87" s="210" t="e">
        <f aca="false">1/(1+AL87/2)^(2*(C87-Val_Date)/365.25)</f>
        <v>#VALUE!</v>
      </c>
      <c r="AO87" s="222" t="e">
        <f aca="false">$B87*$E87*$AM87</f>
        <v>#VALUE!</v>
      </c>
      <c r="AP87" s="222"/>
      <c r="AQ87" s="222" t="e">
        <f aca="false">H87*AO87</f>
        <v>#VALUE!</v>
      </c>
      <c r="AR87" s="222"/>
      <c r="AS87" s="174" t="e">
        <f aca="false">J87*$AO87</f>
        <v>#VALUE!</v>
      </c>
      <c r="AT87" s="174" t="e">
        <f aca="false">K87*$AO87</f>
        <v>#VALUE!</v>
      </c>
      <c r="AU87" s="174" t="e">
        <f aca="false">L87*$AO87</f>
        <v>#VALUE!</v>
      </c>
      <c r="AV87" s="174"/>
      <c r="AW87" s="174"/>
      <c r="AY87" s="220"/>
      <c r="AZ87" s="220"/>
      <c r="BA87" s="223"/>
      <c r="BC87" s="220"/>
      <c r="BE87" s="206"/>
    </row>
    <row r="88" customFormat="false" ht="12.75" hidden="false" customHeight="false" outlineLevel="0" collapsed="false">
      <c r="A88" s="167" t="e">
        <f aca="false">([1]!edate,A87,1)</f>
        <v>#VALUE!</v>
      </c>
      <c r="B88" s="201" t="e">
        <f aca="false">A89-A88</f>
        <v>#VALUE!</v>
      </c>
      <c r="C88" s="202" t="e">
        <f aca="false">IF(Control!$F$18="Physical",Model!A89+24,Model!A89)</f>
        <v>#VALUE!</v>
      </c>
      <c r="E88" s="203" t="e">
        <f aca="false">IF($A88&lt;End_Date,IF(Control!$C$20="Flat",Control!$C$21,VLOOKUP(Model!$A88,Euro!$B$29:$D$182,3)),0)</f>
        <v>#VALUE!</v>
      </c>
      <c r="F88" s="203" t="e">
        <f aca="false">E88*B88</f>
        <v>#VALUE!</v>
      </c>
      <c r="H88" s="204" t="e">
        <f aca="false">IF(Control!$C$27="Mid",VLOOKUP($A88,CurveFetch!$D$8:$F$367,3),VLOOKUP($A88,Euro!$B$29:$I$182,8))</f>
        <v>#VALUE!</v>
      </c>
      <c r="I88" s="204"/>
      <c r="J88" s="204" t="e">
        <f aca="false">IF($J$4="Mid",VLOOKUP($A88,Curve_Fetch,VLOOKUP(Control!$AJ$10,Control!$AI$11:$AK$22,3)),VLOOKUP($A88,Euro!$B$29:$M$182,12))</f>
        <v>#VALUE!</v>
      </c>
      <c r="K88" s="205" t="e">
        <f aca="false">IF(Control!$F$18="Physical",IF($K$4="Mid",VLOOKUP($A88,Curve_Fetch,VLOOKUP(Control!$AJ$10,Control!$AI$11:$AL$22,4)),VLOOKUP($A88,Euro!$B$29:$Q$182,16)),0)</f>
        <v>#VALUE!</v>
      </c>
      <c r="L88" s="204" t="e">
        <f aca="false">SUM(J88:K88)</f>
        <v>#VALUE!</v>
      </c>
      <c r="M88" s="204"/>
      <c r="N88" s="206" t="e">
        <f aca="false">L88+H88</f>
        <v>#VALUE!</v>
      </c>
      <c r="O88" s="206" t="e">
        <f aca="false">N88+Control!$C$39</f>
        <v>#VALUE!</v>
      </c>
      <c r="P88" s="207" t="e">
        <f aca="false">VLOOKUP($A88,CurveFetch!$D$8:$E$367,2)</f>
        <v>#VALUE!</v>
      </c>
      <c r="Q88" s="208" t="e">
        <f aca="false">P88</f>
        <v>#VALUE!</v>
      </c>
      <c r="R88" s="209" t="e">
        <f aca="true">A88-1-TODAY()</f>
        <v>#VALUE!</v>
      </c>
      <c r="S88" s="210" t="e">
        <f aca="false">VLOOKUP($A88,Curve_Fetch,VLOOKUP(Control!$AJ$10,Control!$AI$11:$AM$22,5))</f>
        <v>#VALUE!</v>
      </c>
      <c r="T88" s="211" t="e">
        <f aca="false">EURO(N88,O88,P88,Q88,S88,R88,IF(Control!$C$38="Call",1,0),0)</f>
        <v>#NAME?</v>
      </c>
      <c r="U88" s="174" t="e">
        <f aca="false">T88*B88*E88</f>
        <v>#VALUE!</v>
      </c>
      <c r="V88" s="212"/>
      <c r="W88" s="213"/>
      <c r="X88" s="213"/>
      <c r="Y88" s="213"/>
      <c r="AA88" s="214"/>
      <c r="AB88" s="214"/>
      <c r="AC88" s="215"/>
      <c r="AD88" s="216"/>
      <c r="AE88" s="217"/>
      <c r="AF88" s="218"/>
      <c r="AG88" s="219"/>
      <c r="AH88" s="220"/>
      <c r="AI88" s="174"/>
      <c r="AJ88" s="171" t="e">
        <f aca="false">Y88-L88</f>
        <v>#VALUE!</v>
      </c>
      <c r="AL88" s="208" t="e">
        <f aca="false">VLOOKUP($C88,Curve_Fetch,2)+Cost_of_Funds</f>
        <v>#VALUE!</v>
      </c>
      <c r="AM88" s="210" t="e">
        <f aca="false">1/(1+AL88/2)^(2*(C88-Val_Date)/365.25)</f>
        <v>#VALUE!</v>
      </c>
      <c r="AO88" s="222" t="e">
        <f aca="false">$B88*$E88*$AM88</f>
        <v>#VALUE!</v>
      </c>
      <c r="AP88" s="222"/>
      <c r="AQ88" s="222" t="e">
        <f aca="false">H88*AO88</f>
        <v>#VALUE!</v>
      </c>
      <c r="AR88" s="222"/>
      <c r="AS88" s="174" t="e">
        <f aca="false">J88*$AO88</f>
        <v>#VALUE!</v>
      </c>
      <c r="AT88" s="174" t="e">
        <f aca="false">K88*$AO88</f>
        <v>#VALUE!</v>
      </c>
      <c r="AU88" s="174" t="e">
        <f aca="false">L88*$AO88</f>
        <v>#VALUE!</v>
      </c>
      <c r="AV88" s="174"/>
      <c r="AW88" s="174"/>
      <c r="AY88" s="220"/>
      <c r="AZ88" s="220"/>
      <c r="BA88" s="223"/>
      <c r="BC88" s="220"/>
      <c r="BE88" s="206"/>
    </row>
    <row r="89" customFormat="false" ht="12.75" hidden="false" customHeight="false" outlineLevel="0" collapsed="false">
      <c r="A89" s="167" t="e">
        <f aca="false">([1]!edate,A88,1)</f>
        <v>#VALUE!</v>
      </c>
      <c r="B89" s="201" t="e">
        <f aca="false">A90-A89</f>
        <v>#VALUE!</v>
      </c>
      <c r="C89" s="202" t="e">
        <f aca="false">IF(Control!$F$18="Physical",Model!A90+24,Model!A90)</f>
        <v>#VALUE!</v>
      </c>
      <c r="E89" s="203" t="e">
        <f aca="false">IF($A89&lt;End_Date,IF(Control!$C$20="Flat",Control!$C$21,VLOOKUP(Model!$A89,Euro!$B$29:$D$182,3)),0)</f>
        <v>#VALUE!</v>
      </c>
      <c r="F89" s="203" t="e">
        <f aca="false">E89*B89</f>
        <v>#VALUE!</v>
      </c>
      <c r="H89" s="204" t="e">
        <f aca="false">IF(Control!$C$27="Mid",VLOOKUP($A89,CurveFetch!$D$8:$F$367,3),VLOOKUP($A89,Euro!$B$29:$I$182,8))</f>
        <v>#VALUE!</v>
      </c>
      <c r="I89" s="204"/>
      <c r="J89" s="204" t="e">
        <f aca="false">IF($J$4="Mid",VLOOKUP($A89,Curve_Fetch,VLOOKUP(Control!$AJ$10,Control!$AI$11:$AK$22,3)),VLOOKUP($A89,Euro!$B$29:$M$182,12))</f>
        <v>#VALUE!</v>
      </c>
      <c r="K89" s="205" t="e">
        <f aca="false">IF(Control!$F$18="Physical",IF($K$4="Mid",VLOOKUP($A89,Curve_Fetch,VLOOKUP(Control!$AJ$10,Control!$AI$11:$AL$22,4)),VLOOKUP($A89,Euro!$B$29:$Q$182,16)),0)</f>
        <v>#VALUE!</v>
      </c>
      <c r="L89" s="204" t="e">
        <f aca="false">SUM(J89:K89)</f>
        <v>#VALUE!</v>
      </c>
      <c r="M89" s="204"/>
      <c r="N89" s="206" t="e">
        <f aca="false">L89+H89</f>
        <v>#VALUE!</v>
      </c>
      <c r="O89" s="206" t="e">
        <f aca="false">N89+Control!$C$39</f>
        <v>#VALUE!</v>
      </c>
      <c r="P89" s="207" t="e">
        <f aca="false">VLOOKUP($A89,CurveFetch!$D$8:$E$367,2)</f>
        <v>#VALUE!</v>
      </c>
      <c r="Q89" s="208" t="e">
        <f aca="false">P89</f>
        <v>#VALUE!</v>
      </c>
      <c r="R89" s="209" t="e">
        <f aca="true">A89-1-TODAY()</f>
        <v>#VALUE!</v>
      </c>
      <c r="S89" s="210" t="e">
        <f aca="false">VLOOKUP($A89,Curve_Fetch,VLOOKUP(Control!$AJ$10,Control!$AI$11:$AM$22,5))</f>
        <v>#VALUE!</v>
      </c>
      <c r="T89" s="211" t="e">
        <f aca="false">EURO(N89,O89,P89,Q89,S89,R89,IF(Control!$C$38="Call",1,0),0)</f>
        <v>#NAME?</v>
      </c>
      <c r="U89" s="174" t="e">
        <f aca="false">T89*B89*E89</f>
        <v>#VALUE!</v>
      </c>
      <c r="V89" s="212"/>
      <c r="W89" s="213"/>
      <c r="X89" s="213"/>
      <c r="Y89" s="213"/>
      <c r="AA89" s="214"/>
      <c r="AB89" s="214"/>
      <c r="AC89" s="215"/>
      <c r="AD89" s="216"/>
      <c r="AE89" s="217"/>
      <c r="AF89" s="218"/>
      <c r="AG89" s="219"/>
      <c r="AH89" s="220"/>
      <c r="AI89" s="174"/>
      <c r="AJ89" s="171" t="e">
        <f aca="false">Y89-L89</f>
        <v>#VALUE!</v>
      </c>
      <c r="AL89" s="208" t="e">
        <f aca="false">VLOOKUP($C89,Curve_Fetch,2)+Cost_of_Funds</f>
        <v>#VALUE!</v>
      </c>
      <c r="AM89" s="210" t="e">
        <f aca="false">1/(1+AL89/2)^(2*(C89-Val_Date)/365.25)</f>
        <v>#VALUE!</v>
      </c>
      <c r="AO89" s="222" t="e">
        <f aca="false">$B89*$E89*$AM89</f>
        <v>#VALUE!</v>
      </c>
      <c r="AP89" s="222"/>
      <c r="AQ89" s="222" t="e">
        <f aca="false">H89*AO89</f>
        <v>#VALUE!</v>
      </c>
      <c r="AR89" s="222"/>
      <c r="AS89" s="174" t="e">
        <f aca="false">J89*$AO89</f>
        <v>#VALUE!</v>
      </c>
      <c r="AT89" s="174" t="e">
        <f aca="false">K89*$AO89</f>
        <v>#VALUE!</v>
      </c>
      <c r="AU89" s="174" t="e">
        <f aca="false">L89*$AO89</f>
        <v>#VALUE!</v>
      </c>
      <c r="AV89" s="174"/>
      <c r="AW89" s="174"/>
      <c r="AY89" s="220"/>
      <c r="AZ89" s="220"/>
      <c r="BA89" s="223"/>
      <c r="BC89" s="220"/>
      <c r="BE89" s="206"/>
    </row>
    <row r="90" customFormat="false" ht="12.75" hidden="false" customHeight="false" outlineLevel="0" collapsed="false">
      <c r="A90" s="167" t="e">
        <f aca="false">([1]!edate,A89,1)</f>
        <v>#VALUE!</v>
      </c>
      <c r="B90" s="201" t="e">
        <f aca="false">A91-A90</f>
        <v>#VALUE!</v>
      </c>
      <c r="C90" s="202" t="e">
        <f aca="false">IF(Control!$F$18="Physical",Model!A91+24,Model!A91)</f>
        <v>#VALUE!</v>
      </c>
      <c r="E90" s="203" t="e">
        <f aca="false">IF($A90&lt;End_Date,IF(Control!$C$20="Flat",Control!$C$21,VLOOKUP(Model!$A90,Euro!$B$29:$D$182,3)),0)</f>
        <v>#VALUE!</v>
      </c>
      <c r="F90" s="203" t="e">
        <f aca="false">E90*B90</f>
        <v>#VALUE!</v>
      </c>
      <c r="H90" s="204" t="e">
        <f aca="false">IF(Control!$C$27="Mid",VLOOKUP($A90,CurveFetch!$D$8:$F$367,3),VLOOKUP($A90,Euro!$B$29:$I$182,8))</f>
        <v>#VALUE!</v>
      </c>
      <c r="I90" s="204"/>
      <c r="J90" s="204" t="e">
        <f aca="false">IF($J$4="Mid",VLOOKUP($A90,Curve_Fetch,VLOOKUP(Control!$AJ$10,Control!$AI$11:$AK$22,3)),VLOOKUP($A90,Euro!$B$29:$M$182,12))</f>
        <v>#VALUE!</v>
      </c>
      <c r="K90" s="205" t="e">
        <f aca="false">IF(Control!$F$18="Physical",IF($K$4="Mid",VLOOKUP($A90,Curve_Fetch,VLOOKUP(Control!$AJ$10,Control!$AI$11:$AL$22,4)),VLOOKUP($A90,Euro!$B$29:$Q$182,16)),0)</f>
        <v>#VALUE!</v>
      </c>
      <c r="L90" s="204" t="e">
        <f aca="false">SUM(J90:K90)</f>
        <v>#VALUE!</v>
      </c>
      <c r="M90" s="204"/>
      <c r="N90" s="206" t="e">
        <f aca="false">L90+H90</f>
        <v>#VALUE!</v>
      </c>
      <c r="O90" s="206" t="e">
        <f aca="false">N90+Control!$C$39</f>
        <v>#VALUE!</v>
      </c>
      <c r="P90" s="207" t="e">
        <f aca="false">VLOOKUP($A90,CurveFetch!$D$8:$E$367,2)</f>
        <v>#VALUE!</v>
      </c>
      <c r="Q90" s="208" t="e">
        <f aca="false">P90</f>
        <v>#VALUE!</v>
      </c>
      <c r="R90" s="209" t="e">
        <f aca="true">A90-1-TODAY()</f>
        <v>#VALUE!</v>
      </c>
      <c r="S90" s="210" t="e">
        <f aca="false">VLOOKUP($A90,Curve_Fetch,VLOOKUP(Control!$AJ$10,Control!$AI$11:$AM$22,5))</f>
        <v>#VALUE!</v>
      </c>
      <c r="T90" s="211" t="e">
        <f aca="false">EURO(N90,O90,P90,Q90,S90,R90,IF(Control!$C$38="Call",1,0),0)</f>
        <v>#NAME?</v>
      </c>
      <c r="U90" s="174" t="e">
        <f aca="false">T90*B90*E90</f>
        <v>#VALUE!</v>
      </c>
      <c r="V90" s="212"/>
      <c r="W90" s="213"/>
      <c r="X90" s="213"/>
      <c r="Y90" s="213"/>
      <c r="AA90" s="214"/>
      <c r="AB90" s="214"/>
      <c r="AC90" s="215"/>
      <c r="AD90" s="216"/>
      <c r="AE90" s="217"/>
      <c r="AF90" s="218"/>
      <c r="AG90" s="219"/>
      <c r="AH90" s="220"/>
      <c r="AI90" s="174"/>
      <c r="AJ90" s="171" t="e">
        <f aca="false">Y90-L90</f>
        <v>#VALUE!</v>
      </c>
      <c r="AL90" s="208" t="e">
        <f aca="false">VLOOKUP($C90,Curve_Fetch,2)+Cost_of_Funds</f>
        <v>#VALUE!</v>
      </c>
      <c r="AM90" s="210" t="e">
        <f aca="false">1/(1+AL90/2)^(2*(C90-Val_Date)/365.25)</f>
        <v>#VALUE!</v>
      </c>
      <c r="AO90" s="222" t="e">
        <f aca="false">$B90*$E90*$AM90</f>
        <v>#VALUE!</v>
      </c>
      <c r="AP90" s="222"/>
      <c r="AQ90" s="222" t="e">
        <f aca="false">H90*AO90</f>
        <v>#VALUE!</v>
      </c>
      <c r="AR90" s="222"/>
      <c r="AS90" s="174" t="e">
        <f aca="false">J90*$AO90</f>
        <v>#VALUE!</v>
      </c>
      <c r="AT90" s="174" t="e">
        <f aca="false">K90*$AO90</f>
        <v>#VALUE!</v>
      </c>
      <c r="AU90" s="174" t="e">
        <f aca="false">L90*$AO90</f>
        <v>#VALUE!</v>
      </c>
      <c r="AV90" s="174"/>
      <c r="AW90" s="174"/>
      <c r="AY90" s="220"/>
      <c r="AZ90" s="220"/>
      <c r="BA90" s="223"/>
      <c r="BC90" s="220"/>
      <c r="BE90" s="206"/>
    </row>
    <row r="91" customFormat="false" ht="12.75" hidden="false" customHeight="false" outlineLevel="0" collapsed="false">
      <c r="A91" s="167" t="e">
        <f aca="false">([1]!edate,A90,1)</f>
        <v>#VALUE!</v>
      </c>
      <c r="B91" s="201" t="e">
        <f aca="false">A92-A91</f>
        <v>#VALUE!</v>
      </c>
      <c r="C91" s="202" t="e">
        <f aca="false">IF(Control!$F$18="Physical",Model!A92+24,Model!A92)</f>
        <v>#VALUE!</v>
      </c>
      <c r="E91" s="203" t="e">
        <f aca="false">IF($A91&lt;End_Date,IF(Control!$C$20="Flat",Control!$C$21,VLOOKUP(Model!$A91,Euro!$B$29:$D$182,3)),0)</f>
        <v>#VALUE!</v>
      </c>
      <c r="F91" s="203" t="e">
        <f aca="false">E91*B91</f>
        <v>#VALUE!</v>
      </c>
      <c r="H91" s="204" t="e">
        <f aca="false">IF(Control!$C$27="Mid",VLOOKUP($A91,CurveFetch!$D$8:$F$367,3),VLOOKUP($A91,Euro!$B$29:$I$182,8))</f>
        <v>#VALUE!</v>
      </c>
      <c r="I91" s="204"/>
      <c r="J91" s="204" t="e">
        <f aca="false">IF($J$4="Mid",VLOOKUP($A91,Curve_Fetch,VLOOKUP(Control!$AJ$10,Control!$AI$11:$AK$22,3)),VLOOKUP($A91,Euro!$B$29:$M$182,12))</f>
        <v>#VALUE!</v>
      </c>
      <c r="K91" s="205" t="e">
        <f aca="false">IF(Control!$F$18="Physical",IF($K$4="Mid",VLOOKUP($A91,Curve_Fetch,VLOOKUP(Control!$AJ$10,Control!$AI$11:$AL$22,4)),VLOOKUP($A91,Euro!$B$29:$Q$182,16)),0)</f>
        <v>#VALUE!</v>
      </c>
      <c r="L91" s="204" t="e">
        <f aca="false">SUM(J91:K91)</f>
        <v>#VALUE!</v>
      </c>
      <c r="M91" s="204"/>
      <c r="N91" s="206" t="e">
        <f aca="false">L91+H91</f>
        <v>#VALUE!</v>
      </c>
      <c r="O91" s="206" t="e">
        <f aca="false">N91+Control!$C$39</f>
        <v>#VALUE!</v>
      </c>
      <c r="P91" s="207" t="e">
        <f aca="false">VLOOKUP($A91,CurveFetch!$D$8:$E$367,2)</f>
        <v>#VALUE!</v>
      </c>
      <c r="Q91" s="208" t="e">
        <f aca="false">P91</f>
        <v>#VALUE!</v>
      </c>
      <c r="R91" s="209" t="e">
        <f aca="true">A91-1-TODAY()</f>
        <v>#VALUE!</v>
      </c>
      <c r="S91" s="210" t="e">
        <f aca="false">VLOOKUP($A91,Curve_Fetch,VLOOKUP(Control!$AJ$10,Control!$AI$11:$AM$22,5))</f>
        <v>#VALUE!</v>
      </c>
      <c r="T91" s="211" t="e">
        <f aca="false">EURO(N91,O91,P91,Q91,S91,R91,IF(Control!$C$38="Call",1,0),0)</f>
        <v>#NAME?</v>
      </c>
      <c r="U91" s="174" t="e">
        <f aca="false">T91*B91*E91</f>
        <v>#VALUE!</v>
      </c>
      <c r="V91" s="212"/>
      <c r="W91" s="213"/>
      <c r="X91" s="213"/>
      <c r="Y91" s="213"/>
      <c r="AA91" s="214"/>
      <c r="AB91" s="214"/>
      <c r="AC91" s="215"/>
      <c r="AD91" s="216"/>
      <c r="AE91" s="217"/>
      <c r="AF91" s="218"/>
      <c r="AG91" s="219"/>
      <c r="AH91" s="220"/>
      <c r="AI91" s="174"/>
      <c r="AJ91" s="171" t="e">
        <f aca="false">Y91-L91</f>
        <v>#VALUE!</v>
      </c>
      <c r="AL91" s="208" t="e">
        <f aca="false">VLOOKUP($C91,Curve_Fetch,2)+Cost_of_Funds</f>
        <v>#VALUE!</v>
      </c>
      <c r="AM91" s="210" t="e">
        <f aca="false">1/(1+AL91/2)^(2*(C91-Val_Date)/365.25)</f>
        <v>#VALUE!</v>
      </c>
      <c r="AO91" s="222" t="e">
        <f aca="false">$B91*$E91*$AM91</f>
        <v>#VALUE!</v>
      </c>
      <c r="AP91" s="222"/>
      <c r="AQ91" s="222" t="e">
        <f aca="false">H91*AO91</f>
        <v>#VALUE!</v>
      </c>
      <c r="AR91" s="222"/>
      <c r="AS91" s="174" t="e">
        <f aca="false">J91*$AO91</f>
        <v>#VALUE!</v>
      </c>
      <c r="AT91" s="174" t="e">
        <f aca="false">K91*$AO91</f>
        <v>#VALUE!</v>
      </c>
      <c r="AU91" s="174" t="e">
        <f aca="false">L91*$AO91</f>
        <v>#VALUE!</v>
      </c>
      <c r="AV91" s="174"/>
      <c r="AW91" s="174"/>
      <c r="AY91" s="220"/>
      <c r="AZ91" s="220"/>
      <c r="BA91" s="223"/>
      <c r="BC91" s="220"/>
      <c r="BE91" s="206"/>
    </row>
    <row r="92" customFormat="false" ht="12.75" hidden="false" customHeight="false" outlineLevel="0" collapsed="false">
      <c r="A92" s="167" t="e">
        <f aca="false">([1]!edate,A91,1)</f>
        <v>#VALUE!</v>
      </c>
      <c r="B92" s="201" t="e">
        <f aca="false">A93-A92</f>
        <v>#VALUE!</v>
      </c>
      <c r="C92" s="202" t="e">
        <f aca="false">IF(Control!$F$18="Physical",Model!A93+24,Model!A93)</f>
        <v>#VALUE!</v>
      </c>
      <c r="E92" s="203" t="e">
        <f aca="false">IF($A92&lt;End_Date,IF(Control!$C$20="Flat",Control!$C$21,VLOOKUP(Model!$A92,Euro!$B$29:$D$182,3)),0)</f>
        <v>#VALUE!</v>
      </c>
      <c r="F92" s="203" t="e">
        <f aca="false">E92*B92</f>
        <v>#VALUE!</v>
      </c>
      <c r="H92" s="204" t="e">
        <f aca="false">IF(Control!$C$27="Mid",VLOOKUP($A92,CurveFetch!$D$8:$F$367,3),VLOOKUP($A92,Euro!$B$29:$I$182,8))</f>
        <v>#VALUE!</v>
      </c>
      <c r="I92" s="204"/>
      <c r="J92" s="204" t="e">
        <f aca="false">IF($J$4="Mid",VLOOKUP($A92,Curve_Fetch,VLOOKUP(Control!$AJ$10,Control!$AI$11:$AK$22,3)),VLOOKUP($A92,Euro!$B$29:$M$182,12))</f>
        <v>#VALUE!</v>
      </c>
      <c r="K92" s="205" t="e">
        <f aca="false">IF(Control!$F$18="Physical",IF($K$4="Mid",VLOOKUP($A92,Curve_Fetch,VLOOKUP(Control!$AJ$10,Control!$AI$11:$AL$22,4)),VLOOKUP($A92,Euro!$B$29:$Q$182,16)),0)</f>
        <v>#VALUE!</v>
      </c>
      <c r="L92" s="204" t="e">
        <f aca="false">SUM(J92:K92)</f>
        <v>#VALUE!</v>
      </c>
      <c r="M92" s="204"/>
      <c r="N92" s="206" t="e">
        <f aca="false">L92+H92</f>
        <v>#VALUE!</v>
      </c>
      <c r="O92" s="206" t="e">
        <f aca="false">N92+Control!$C$39</f>
        <v>#VALUE!</v>
      </c>
      <c r="P92" s="207" t="e">
        <f aca="false">VLOOKUP($A92,CurveFetch!$D$8:$E$367,2)</f>
        <v>#VALUE!</v>
      </c>
      <c r="Q92" s="208" t="e">
        <f aca="false">P92</f>
        <v>#VALUE!</v>
      </c>
      <c r="R92" s="209" t="e">
        <f aca="true">A92-1-TODAY()</f>
        <v>#VALUE!</v>
      </c>
      <c r="S92" s="210" t="e">
        <f aca="false">VLOOKUP($A92,Curve_Fetch,VLOOKUP(Control!$AJ$10,Control!$AI$11:$AM$22,5))</f>
        <v>#VALUE!</v>
      </c>
      <c r="T92" s="211" t="e">
        <f aca="false">EURO(N92,O92,P92,Q92,S92,R92,IF(Control!$C$38="Call",1,0),0)</f>
        <v>#NAME?</v>
      </c>
      <c r="U92" s="174" t="e">
        <f aca="false">T92*B92*E92</f>
        <v>#VALUE!</v>
      </c>
      <c r="V92" s="212"/>
      <c r="W92" s="213"/>
      <c r="X92" s="213"/>
      <c r="Y92" s="213"/>
      <c r="AA92" s="214"/>
      <c r="AB92" s="214"/>
      <c r="AC92" s="215"/>
      <c r="AD92" s="216"/>
      <c r="AE92" s="217"/>
      <c r="AF92" s="218"/>
      <c r="AG92" s="219"/>
      <c r="AH92" s="220"/>
      <c r="AI92" s="174"/>
      <c r="AJ92" s="171" t="e">
        <f aca="false">Y92-L92</f>
        <v>#VALUE!</v>
      </c>
      <c r="AL92" s="208" t="e">
        <f aca="false">VLOOKUP($C92,Curve_Fetch,2)+Cost_of_Funds</f>
        <v>#VALUE!</v>
      </c>
      <c r="AM92" s="210" t="e">
        <f aca="false">1/(1+AL92/2)^(2*(C92-Val_Date)/365.25)</f>
        <v>#VALUE!</v>
      </c>
      <c r="AO92" s="222" t="e">
        <f aca="false">$B92*$E92*$AM92</f>
        <v>#VALUE!</v>
      </c>
      <c r="AP92" s="222"/>
      <c r="AQ92" s="222" t="e">
        <f aca="false">H92*AO92</f>
        <v>#VALUE!</v>
      </c>
      <c r="AR92" s="222"/>
      <c r="AS92" s="174" t="e">
        <f aca="false">J92*$AO92</f>
        <v>#VALUE!</v>
      </c>
      <c r="AT92" s="174" t="e">
        <f aca="false">K92*$AO92</f>
        <v>#VALUE!</v>
      </c>
      <c r="AU92" s="174" t="e">
        <f aca="false">L92*$AO92</f>
        <v>#VALUE!</v>
      </c>
      <c r="AV92" s="174"/>
      <c r="AW92" s="174"/>
      <c r="AY92" s="220"/>
      <c r="AZ92" s="220"/>
      <c r="BA92" s="223"/>
      <c r="BC92" s="220"/>
      <c r="BE92" s="206"/>
    </row>
    <row r="93" customFormat="false" ht="12.75" hidden="false" customHeight="false" outlineLevel="0" collapsed="false">
      <c r="A93" s="167" t="e">
        <f aca="false">([1]!edate,A92,1)</f>
        <v>#VALUE!</v>
      </c>
      <c r="B93" s="201" t="e">
        <f aca="false">A94-A93</f>
        <v>#VALUE!</v>
      </c>
      <c r="C93" s="202" t="e">
        <f aca="false">IF(Control!$F$18="Physical",Model!A94+24,Model!A94)</f>
        <v>#VALUE!</v>
      </c>
      <c r="E93" s="203" t="e">
        <f aca="false">IF($A93&lt;End_Date,IF(Control!$C$20="Flat",Control!$C$21,VLOOKUP(Model!$A93,Euro!$B$29:$D$182,3)),0)</f>
        <v>#VALUE!</v>
      </c>
      <c r="F93" s="203" t="e">
        <f aca="false">E93*B93</f>
        <v>#VALUE!</v>
      </c>
      <c r="H93" s="204" t="e">
        <f aca="false">IF(Control!$C$27="Mid",VLOOKUP($A93,CurveFetch!$D$8:$F$367,3),VLOOKUP($A93,Euro!$B$29:$I$182,8))</f>
        <v>#VALUE!</v>
      </c>
      <c r="I93" s="204"/>
      <c r="J93" s="204" t="e">
        <f aca="false">IF($J$4="Mid",VLOOKUP($A93,Curve_Fetch,VLOOKUP(Control!$AJ$10,Control!$AI$11:$AK$22,3)),VLOOKUP($A93,Euro!$B$29:$M$182,12))</f>
        <v>#VALUE!</v>
      </c>
      <c r="K93" s="205" t="e">
        <f aca="false">IF(Control!$F$18="Physical",IF($K$4="Mid",VLOOKUP($A93,Curve_Fetch,VLOOKUP(Control!$AJ$10,Control!$AI$11:$AL$22,4)),VLOOKUP($A93,Euro!$B$29:$Q$182,16)),0)</f>
        <v>#VALUE!</v>
      </c>
      <c r="L93" s="204" t="e">
        <f aca="false">SUM(J93:K93)</f>
        <v>#VALUE!</v>
      </c>
      <c r="M93" s="204"/>
      <c r="N93" s="206" t="e">
        <f aca="false">L93+H93</f>
        <v>#VALUE!</v>
      </c>
      <c r="O93" s="206" t="e">
        <f aca="false">N93+Control!$C$39</f>
        <v>#VALUE!</v>
      </c>
      <c r="P93" s="207" t="e">
        <f aca="false">VLOOKUP($A93,CurveFetch!$D$8:$E$367,2)</f>
        <v>#VALUE!</v>
      </c>
      <c r="Q93" s="208" t="e">
        <f aca="false">P93</f>
        <v>#VALUE!</v>
      </c>
      <c r="R93" s="209" t="e">
        <f aca="true">A93-1-TODAY()</f>
        <v>#VALUE!</v>
      </c>
      <c r="S93" s="210" t="e">
        <f aca="false">VLOOKUP($A93,Curve_Fetch,VLOOKUP(Control!$AJ$10,Control!$AI$11:$AM$22,5))</f>
        <v>#VALUE!</v>
      </c>
      <c r="T93" s="211" t="e">
        <f aca="false">EURO(N93,O93,P93,Q93,S93,R93,IF(Control!$C$38="Call",1,0),0)</f>
        <v>#NAME?</v>
      </c>
      <c r="U93" s="174" t="e">
        <f aca="false">T93*B93*E93</f>
        <v>#VALUE!</v>
      </c>
      <c r="V93" s="212"/>
      <c r="W93" s="213"/>
      <c r="X93" s="213"/>
      <c r="Y93" s="213"/>
      <c r="AA93" s="214"/>
      <c r="AB93" s="214"/>
      <c r="AC93" s="215"/>
      <c r="AD93" s="216"/>
      <c r="AE93" s="217"/>
      <c r="AF93" s="218"/>
      <c r="AG93" s="219"/>
      <c r="AH93" s="220"/>
      <c r="AI93" s="174"/>
      <c r="AJ93" s="171" t="e">
        <f aca="false">Y93-L93</f>
        <v>#VALUE!</v>
      </c>
      <c r="AL93" s="208" t="e">
        <f aca="false">VLOOKUP($C93,Curve_Fetch,2)+Cost_of_Funds</f>
        <v>#VALUE!</v>
      </c>
      <c r="AM93" s="210" t="e">
        <f aca="false">1/(1+AL93/2)^(2*(C93-Val_Date)/365.25)</f>
        <v>#VALUE!</v>
      </c>
      <c r="AO93" s="222" t="e">
        <f aca="false">$B93*$E93*$AM93</f>
        <v>#VALUE!</v>
      </c>
      <c r="AP93" s="222"/>
      <c r="AQ93" s="222" t="e">
        <f aca="false">H93*AO93</f>
        <v>#VALUE!</v>
      </c>
      <c r="AR93" s="222"/>
      <c r="AS93" s="174" t="e">
        <f aca="false">J93*$AO93</f>
        <v>#VALUE!</v>
      </c>
      <c r="AT93" s="174" t="e">
        <f aca="false">K93*$AO93</f>
        <v>#VALUE!</v>
      </c>
      <c r="AU93" s="174" t="e">
        <f aca="false">L93*$AO93</f>
        <v>#VALUE!</v>
      </c>
      <c r="AV93" s="174"/>
      <c r="AW93" s="174"/>
      <c r="AY93" s="220"/>
      <c r="AZ93" s="220"/>
      <c r="BA93" s="223"/>
      <c r="BC93" s="220"/>
      <c r="BE93" s="206"/>
    </row>
    <row r="94" customFormat="false" ht="12.75" hidden="false" customHeight="false" outlineLevel="0" collapsed="false">
      <c r="A94" s="167" t="e">
        <f aca="false">([1]!edate,A93,1)</f>
        <v>#VALUE!</v>
      </c>
      <c r="B94" s="201" t="e">
        <f aca="false">A95-A94</f>
        <v>#VALUE!</v>
      </c>
      <c r="C94" s="202" t="e">
        <f aca="false">IF(Control!$F$18="Physical",Model!A95+24,Model!A95)</f>
        <v>#VALUE!</v>
      </c>
      <c r="E94" s="203" t="e">
        <f aca="false">IF($A94&lt;End_Date,IF(Control!$C$20="Flat",Control!$C$21,VLOOKUP(Model!$A94,Euro!$B$29:$D$182,3)),0)</f>
        <v>#VALUE!</v>
      </c>
      <c r="F94" s="203" t="e">
        <f aca="false">E94*B94</f>
        <v>#VALUE!</v>
      </c>
      <c r="H94" s="204" t="e">
        <f aca="false">IF(Control!$C$27="Mid",VLOOKUP($A94,CurveFetch!$D$8:$F$367,3),VLOOKUP($A94,Euro!$B$29:$I$182,8))</f>
        <v>#VALUE!</v>
      </c>
      <c r="I94" s="204"/>
      <c r="J94" s="204" t="e">
        <f aca="false">IF($J$4="Mid",VLOOKUP($A94,Curve_Fetch,VLOOKUP(Control!$AJ$10,Control!$AI$11:$AK$22,3)),VLOOKUP($A94,Euro!$B$29:$M$182,12))</f>
        <v>#VALUE!</v>
      </c>
      <c r="K94" s="205" t="e">
        <f aca="false">IF(Control!$F$18="Physical",IF($K$4="Mid",VLOOKUP($A94,Curve_Fetch,VLOOKUP(Control!$AJ$10,Control!$AI$11:$AL$22,4)),VLOOKUP($A94,Euro!$B$29:$Q$182,16)),0)</f>
        <v>#VALUE!</v>
      </c>
      <c r="L94" s="204" t="e">
        <f aca="false">SUM(J94:K94)</f>
        <v>#VALUE!</v>
      </c>
      <c r="M94" s="204"/>
      <c r="N94" s="206" t="e">
        <f aca="false">L94+H94</f>
        <v>#VALUE!</v>
      </c>
      <c r="O94" s="206" t="e">
        <f aca="false">N94+Control!$C$39</f>
        <v>#VALUE!</v>
      </c>
      <c r="P94" s="207" t="e">
        <f aca="false">VLOOKUP($A94,CurveFetch!$D$8:$E$367,2)</f>
        <v>#VALUE!</v>
      </c>
      <c r="Q94" s="208" t="e">
        <f aca="false">P94</f>
        <v>#VALUE!</v>
      </c>
      <c r="R94" s="209" t="e">
        <f aca="true">A94-1-TODAY()</f>
        <v>#VALUE!</v>
      </c>
      <c r="S94" s="210" t="e">
        <f aca="false">VLOOKUP($A94,Curve_Fetch,VLOOKUP(Control!$AJ$10,Control!$AI$11:$AM$22,5))</f>
        <v>#VALUE!</v>
      </c>
      <c r="T94" s="211" t="e">
        <f aca="false">EURO(N94,O94,P94,Q94,S94,R94,IF(Control!$C$38="Call",1,0),0)</f>
        <v>#NAME?</v>
      </c>
      <c r="U94" s="174" t="e">
        <f aca="false">T94*B94*E94</f>
        <v>#VALUE!</v>
      </c>
      <c r="V94" s="212"/>
      <c r="W94" s="213"/>
      <c r="X94" s="213"/>
      <c r="Y94" s="213"/>
      <c r="AA94" s="214"/>
      <c r="AB94" s="214"/>
      <c r="AC94" s="215"/>
      <c r="AD94" s="216"/>
      <c r="AE94" s="217"/>
      <c r="AF94" s="218"/>
      <c r="AG94" s="219"/>
      <c r="AH94" s="220"/>
      <c r="AI94" s="174"/>
      <c r="AJ94" s="171" t="e">
        <f aca="false">Y94-L94</f>
        <v>#VALUE!</v>
      </c>
      <c r="AL94" s="208" t="e">
        <f aca="false">VLOOKUP($C94,Curve_Fetch,2)+Cost_of_Funds</f>
        <v>#VALUE!</v>
      </c>
      <c r="AM94" s="210" t="e">
        <f aca="false">1/(1+AL94/2)^(2*(C94-Val_Date)/365.25)</f>
        <v>#VALUE!</v>
      </c>
      <c r="AO94" s="222" t="e">
        <f aca="false">$B94*$E94*$AM94</f>
        <v>#VALUE!</v>
      </c>
      <c r="AP94" s="222"/>
      <c r="AQ94" s="222" t="e">
        <f aca="false">H94*AO94</f>
        <v>#VALUE!</v>
      </c>
      <c r="AR94" s="222"/>
      <c r="AS94" s="174" t="e">
        <f aca="false">J94*$AO94</f>
        <v>#VALUE!</v>
      </c>
      <c r="AT94" s="174" t="e">
        <f aca="false">K94*$AO94</f>
        <v>#VALUE!</v>
      </c>
      <c r="AU94" s="174" t="e">
        <f aca="false">L94*$AO94</f>
        <v>#VALUE!</v>
      </c>
      <c r="AV94" s="174"/>
      <c r="AW94" s="174"/>
      <c r="AY94" s="220"/>
      <c r="AZ94" s="220"/>
      <c r="BA94" s="223"/>
      <c r="BC94" s="220"/>
      <c r="BE94" s="206"/>
    </row>
    <row r="95" customFormat="false" ht="12.75" hidden="false" customHeight="false" outlineLevel="0" collapsed="false">
      <c r="A95" s="167" t="e">
        <f aca="false">([1]!edate,A94,1)</f>
        <v>#VALUE!</v>
      </c>
      <c r="B95" s="201" t="e">
        <f aca="false">A96-A95</f>
        <v>#VALUE!</v>
      </c>
      <c r="C95" s="202" t="e">
        <f aca="false">IF(Control!$F$18="Physical",Model!A96+24,Model!A96)</f>
        <v>#VALUE!</v>
      </c>
      <c r="E95" s="203" t="e">
        <f aca="false">IF($A95&lt;End_Date,IF(Control!$C$20="Flat",Control!$C$21,VLOOKUP(Model!$A95,Euro!$B$29:$D$182,3)),0)</f>
        <v>#VALUE!</v>
      </c>
      <c r="F95" s="203" t="e">
        <f aca="false">E95*B95</f>
        <v>#VALUE!</v>
      </c>
      <c r="H95" s="204" t="e">
        <f aca="false">IF(Control!$C$27="Mid",VLOOKUP($A95,CurveFetch!$D$8:$F$367,3),VLOOKUP($A95,Euro!$B$29:$I$182,8))</f>
        <v>#VALUE!</v>
      </c>
      <c r="I95" s="204"/>
      <c r="J95" s="204" t="e">
        <f aca="false">IF($J$4="Mid",VLOOKUP($A95,Curve_Fetch,VLOOKUP(Control!$AJ$10,Control!$AI$11:$AK$22,3)),VLOOKUP($A95,Euro!$B$29:$M$182,12))</f>
        <v>#VALUE!</v>
      </c>
      <c r="K95" s="205" t="e">
        <f aca="false">IF(Control!$F$18="Physical",IF($K$4="Mid",VLOOKUP($A95,Curve_Fetch,VLOOKUP(Control!$AJ$10,Control!$AI$11:$AL$22,4)),VLOOKUP($A95,Euro!$B$29:$Q$182,16)),0)</f>
        <v>#VALUE!</v>
      </c>
      <c r="L95" s="204" t="e">
        <f aca="false">SUM(J95:K95)</f>
        <v>#VALUE!</v>
      </c>
      <c r="M95" s="204"/>
      <c r="N95" s="206" t="e">
        <f aca="false">L95+H95</f>
        <v>#VALUE!</v>
      </c>
      <c r="O95" s="206" t="e">
        <f aca="false">N95+Control!$C$39</f>
        <v>#VALUE!</v>
      </c>
      <c r="P95" s="207" t="e">
        <f aca="false">VLOOKUP($A95,CurveFetch!$D$8:$E$367,2)</f>
        <v>#VALUE!</v>
      </c>
      <c r="Q95" s="208" t="e">
        <f aca="false">P95</f>
        <v>#VALUE!</v>
      </c>
      <c r="R95" s="209" t="e">
        <f aca="true">A95-1-TODAY()</f>
        <v>#VALUE!</v>
      </c>
      <c r="S95" s="210" t="e">
        <f aca="false">VLOOKUP($A95,Curve_Fetch,VLOOKUP(Control!$AJ$10,Control!$AI$11:$AM$22,5))</f>
        <v>#VALUE!</v>
      </c>
      <c r="T95" s="211" t="e">
        <f aca="false">EURO(N95,O95,P95,Q95,S95,R95,IF(Control!$C$38="Call",1,0),0)</f>
        <v>#NAME?</v>
      </c>
      <c r="U95" s="174" t="e">
        <f aca="false">T95*B95*E95</f>
        <v>#VALUE!</v>
      </c>
      <c r="V95" s="212"/>
      <c r="W95" s="213"/>
      <c r="X95" s="213"/>
      <c r="Y95" s="213"/>
      <c r="AA95" s="214"/>
      <c r="AB95" s="214"/>
      <c r="AC95" s="215"/>
      <c r="AD95" s="216"/>
      <c r="AE95" s="217"/>
      <c r="AF95" s="218"/>
      <c r="AG95" s="219"/>
      <c r="AH95" s="220"/>
      <c r="AI95" s="174"/>
      <c r="AJ95" s="171" t="e">
        <f aca="false">Y95-L95</f>
        <v>#VALUE!</v>
      </c>
      <c r="AL95" s="208" t="e">
        <f aca="false">VLOOKUP($C95,Curve_Fetch,2)+Cost_of_Funds</f>
        <v>#VALUE!</v>
      </c>
      <c r="AM95" s="210" t="e">
        <f aca="false">1/(1+AL95/2)^(2*(C95-Val_Date)/365.25)</f>
        <v>#VALUE!</v>
      </c>
      <c r="AO95" s="222" t="e">
        <f aca="false">$B95*$E95*$AM95</f>
        <v>#VALUE!</v>
      </c>
      <c r="AP95" s="222"/>
      <c r="AQ95" s="222" t="e">
        <f aca="false">H95*AO95</f>
        <v>#VALUE!</v>
      </c>
      <c r="AR95" s="222"/>
      <c r="AS95" s="174" t="e">
        <f aca="false">J95*$AO95</f>
        <v>#VALUE!</v>
      </c>
      <c r="AT95" s="174" t="e">
        <f aca="false">K95*$AO95</f>
        <v>#VALUE!</v>
      </c>
      <c r="AU95" s="174" t="e">
        <f aca="false">L95*$AO95</f>
        <v>#VALUE!</v>
      </c>
      <c r="AV95" s="174"/>
      <c r="AW95" s="174"/>
      <c r="AY95" s="220"/>
      <c r="AZ95" s="220"/>
      <c r="BA95" s="223"/>
      <c r="BC95" s="220"/>
      <c r="BE95" s="206"/>
    </row>
    <row r="96" customFormat="false" ht="12.75" hidden="false" customHeight="false" outlineLevel="0" collapsed="false">
      <c r="A96" s="167" t="e">
        <f aca="false">([1]!edate,A95,1)</f>
        <v>#VALUE!</v>
      </c>
      <c r="B96" s="201" t="e">
        <f aca="false">A97-A96</f>
        <v>#VALUE!</v>
      </c>
      <c r="C96" s="202" t="e">
        <f aca="false">IF(Control!$F$18="Physical",Model!A97+24,Model!A97)</f>
        <v>#VALUE!</v>
      </c>
      <c r="E96" s="203" t="e">
        <f aca="false">IF($A96&lt;End_Date,IF(Control!$C$20="Flat",Control!$C$21,VLOOKUP(Model!$A96,Euro!$B$29:$D$182,3)),0)</f>
        <v>#VALUE!</v>
      </c>
      <c r="F96" s="203" t="e">
        <f aca="false">E96*B96</f>
        <v>#VALUE!</v>
      </c>
      <c r="H96" s="204" t="e">
        <f aca="false">IF(Control!$C$27="Mid",VLOOKUP($A96,CurveFetch!$D$8:$F$367,3),VLOOKUP($A96,Euro!$B$29:$I$182,8))</f>
        <v>#VALUE!</v>
      </c>
      <c r="I96" s="204"/>
      <c r="J96" s="204" t="e">
        <f aca="false">IF($J$4="Mid",VLOOKUP($A96,Curve_Fetch,VLOOKUP(Control!$AJ$10,Control!$AI$11:$AK$22,3)),VLOOKUP($A96,Euro!$B$29:$M$182,12))</f>
        <v>#VALUE!</v>
      </c>
      <c r="K96" s="205" t="e">
        <f aca="false">IF(Control!$F$18="Physical",IF($K$4="Mid",VLOOKUP($A96,Curve_Fetch,VLOOKUP(Control!$AJ$10,Control!$AI$11:$AL$22,4)),VLOOKUP($A96,Euro!$B$29:$Q$182,16)),0)</f>
        <v>#VALUE!</v>
      </c>
      <c r="L96" s="204" t="e">
        <f aca="false">SUM(J96:K96)</f>
        <v>#VALUE!</v>
      </c>
      <c r="M96" s="204"/>
      <c r="N96" s="206" t="e">
        <f aca="false">L96+H96</f>
        <v>#VALUE!</v>
      </c>
      <c r="O96" s="206" t="e">
        <f aca="false">N96+Control!$C$39</f>
        <v>#VALUE!</v>
      </c>
      <c r="P96" s="207" t="e">
        <f aca="false">VLOOKUP($A96,CurveFetch!$D$8:$E$367,2)</f>
        <v>#VALUE!</v>
      </c>
      <c r="Q96" s="208" t="e">
        <f aca="false">P96</f>
        <v>#VALUE!</v>
      </c>
      <c r="R96" s="209" t="e">
        <f aca="true">A96-1-TODAY()</f>
        <v>#VALUE!</v>
      </c>
      <c r="S96" s="210" t="e">
        <f aca="false">VLOOKUP($A96,Curve_Fetch,VLOOKUP(Control!$AJ$10,Control!$AI$11:$AM$22,5))</f>
        <v>#VALUE!</v>
      </c>
      <c r="T96" s="211" t="e">
        <f aca="false">EURO(N96,O96,P96,Q96,S96,R96,IF(Control!$C$38="Call",1,0),0)</f>
        <v>#NAME?</v>
      </c>
      <c r="U96" s="174" t="e">
        <f aca="false">T96*B96*E96</f>
        <v>#VALUE!</v>
      </c>
      <c r="V96" s="212"/>
      <c r="W96" s="213"/>
      <c r="X96" s="213"/>
      <c r="Y96" s="213"/>
      <c r="AA96" s="214"/>
      <c r="AB96" s="214"/>
      <c r="AC96" s="215"/>
      <c r="AD96" s="216"/>
      <c r="AE96" s="217"/>
      <c r="AF96" s="218"/>
      <c r="AG96" s="219"/>
      <c r="AH96" s="220"/>
      <c r="AI96" s="174"/>
      <c r="AJ96" s="171" t="e">
        <f aca="false">Y96-L96</f>
        <v>#VALUE!</v>
      </c>
      <c r="AL96" s="208" t="e">
        <f aca="false">VLOOKUP($C96,Curve_Fetch,2)+Cost_of_Funds</f>
        <v>#VALUE!</v>
      </c>
      <c r="AM96" s="210" t="e">
        <f aca="false">1/(1+AL96/2)^(2*(C96-Val_Date)/365.25)</f>
        <v>#VALUE!</v>
      </c>
      <c r="AO96" s="222" t="e">
        <f aca="false">$B96*$E96*$AM96</f>
        <v>#VALUE!</v>
      </c>
      <c r="AP96" s="222"/>
      <c r="AQ96" s="222" t="e">
        <f aca="false">H96*AO96</f>
        <v>#VALUE!</v>
      </c>
      <c r="AR96" s="222"/>
      <c r="AS96" s="174" t="e">
        <f aca="false">J96*$AO96</f>
        <v>#VALUE!</v>
      </c>
      <c r="AT96" s="174" t="e">
        <f aca="false">K96*$AO96</f>
        <v>#VALUE!</v>
      </c>
      <c r="AU96" s="174" t="e">
        <f aca="false">L96*$AO96</f>
        <v>#VALUE!</v>
      </c>
      <c r="AV96" s="174"/>
      <c r="AW96" s="174"/>
      <c r="AY96" s="220"/>
      <c r="AZ96" s="220"/>
      <c r="BA96" s="223"/>
      <c r="BC96" s="220"/>
      <c r="BE96" s="206"/>
    </row>
    <row r="97" customFormat="false" ht="12.75" hidden="false" customHeight="false" outlineLevel="0" collapsed="false">
      <c r="A97" s="167" t="e">
        <f aca="false">([1]!edate,A96,1)</f>
        <v>#VALUE!</v>
      </c>
      <c r="B97" s="201" t="e">
        <f aca="false">A98-A97</f>
        <v>#VALUE!</v>
      </c>
      <c r="C97" s="202" t="e">
        <f aca="false">IF(Control!$F$18="Physical",Model!A98+24,Model!A98)</f>
        <v>#VALUE!</v>
      </c>
      <c r="E97" s="203" t="e">
        <f aca="false">IF($A97&lt;End_Date,IF(Control!$C$20="Flat",Control!$C$21,VLOOKUP(Model!$A97,Euro!$B$29:$D$182,3)),0)</f>
        <v>#VALUE!</v>
      </c>
      <c r="F97" s="203" t="e">
        <f aca="false">E97*B97</f>
        <v>#VALUE!</v>
      </c>
      <c r="H97" s="204" t="e">
        <f aca="false">IF(Control!$C$27="Mid",VLOOKUP($A97,CurveFetch!$D$8:$F$367,3),VLOOKUP($A97,Euro!$B$29:$I$182,8))</f>
        <v>#VALUE!</v>
      </c>
      <c r="I97" s="204"/>
      <c r="J97" s="204" t="e">
        <f aca="false">IF($J$4="Mid",VLOOKUP($A97,Curve_Fetch,VLOOKUP(Control!$AJ$10,Control!$AI$11:$AK$22,3)),VLOOKUP($A97,Euro!$B$29:$M$182,12))</f>
        <v>#VALUE!</v>
      </c>
      <c r="K97" s="205" t="e">
        <f aca="false">IF(Control!$F$18="Physical",IF($K$4="Mid",VLOOKUP($A97,Curve_Fetch,VLOOKUP(Control!$AJ$10,Control!$AI$11:$AL$22,4)),VLOOKUP($A97,Euro!$B$29:$Q$182,16)),0)</f>
        <v>#VALUE!</v>
      </c>
      <c r="L97" s="204" t="e">
        <f aca="false">SUM(J97:K97)</f>
        <v>#VALUE!</v>
      </c>
      <c r="M97" s="204"/>
      <c r="N97" s="206" t="e">
        <f aca="false">L97+H97</f>
        <v>#VALUE!</v>
      </c>
      <c r="O97" s="206" t="e">
        <f aca="false">N97+Control!$C$39</f>
        <v>#VALUE!</v>
      </c>
      <c r="P97" s="207" t="e">
        <f aca="false">VLOOKUP($A97,CurveFetch!$D$8:$E$367,2)</f>
        <v>#VALUE!</v>
      </c>
      <c r="Q97" s="208" t="e">
        <f aca="false">P97</f>
        <v>#VALUE!</v>
      </c>
      <c r="R97" s="209" t="e">
        <f aca="true">A97-1-TODAY()</f>
        <v>#VALUE!</v>
      </c>
      <c r="S97" s="210" t="e">
        <f aca="false">VLOOKUP($A97,Curve_Fetch,VLOOKUP(Control!$AJ$10,Control!$AI$11:$AM$22,5))</f>
        <v>#VALUE!</v>
      </c>
      <c r="T97" s="211" t="e">
        <f aca="false">EURO(N97,O97,P97,Q97,S97,R97,IF(Control!$C$38="Call",1,0),0)</f>
        <v>#NAME?</v>
      </c>
      <c r="U97" s="174" t="e">
        <f aca="false">T97*B97*E97</f>
        <v>#VALUE!</v>
      </c>
      <c r="V97" s="212"/>
      <c r="W97" s="213"/>
      <c r="X97" s="213"/>
      <c r="Y97" s="213"/>
      <c r="AA97" s="214"/>
      <c r="AB97" s="214"/>
      <c r="AC97" s="215"/>
      <c r="AD97" s="216"/>
      <c r="AE97" s="217"/>
      <c r="AF97" s="218"/>
      <c r="AG97" s="219"/>
      <c r="AH97" s="220"/>
      <c r="AI97" s="174"/>
      <c r="AJ97" s="171" t="e">
        <f aca="false">Y97-L97</f>
        <v>#VALUE!</v>
      </c>
      <c r="AL97" s="208" t="e">
        <f aca="false">VLOOKUP($C97,Curve_Fetch,2)+Cost_of_Funds</f>
        <v>#VALUE!</v>
      </c>
      <c r="AM97" s="210" t="e">
        <f aca="false">1/(1+AL97/2)^(2*(C97-Val_Date)/365.25)</f>
        <v>#VALUE!</v>
      </c>
      <c r="AO97" s="222" t="e">
        <f aca="false">$B97*$E97*$AM97</f>
        <v>#VALUE!</v>
      </c>
      <c r="AP97" s="222"/>
      <c r="AQ97" s="222" t="e">
        <f aca="false">H97*AO97</f>
        <v>#VALUE!</v>
      </c>
      <c r="AR97" s="222"/>
      <c r="AS97" s="174" t="e">
        <f aca="false">J97*$AO97</f>
        <v>#VALUE!</v>
      </c>
      <c r="AT97" s="174" t="e">
        <f aca="false">K97*$AO97</f>
        <v>#VALUE!</v>
      </c>
      <c r="AU97" s="174" t="e">
        <f aca="false">L97*$AO97</f>
        <v>#VALUE!</v>
      </c>
      <c r="AV97" s="174"/>
      <c r="AW97" s="174"/>
      <c r="AY97" s="220"/>
      <c r="AZ97" s="220"/>
      <c r="BA97" s="223"/>
      <c r="BC97" s="220"/>
      <c r="BE97" s="206"/>
    </row>
    <row r="98" customFormat="false" ht="12.75" hidden="false" customHeight="false" outlineLevel="0" collapsed="false">
      <c r="A98" s="167" t="e">
        <f aca="false">([1]!edate,A97,1)</f>
        <v>#VALUE!</v>
      </c>
      <c r="B98" s="201" t="e">
        <f aca="false">A99-A98</f>
        <v>#VALUE!</v>
      </c>
      <c r="C98" s="202" t="e">
        <f aca="false">IF(Control!$F$18="Physical",Model!A99+24,Model!A99)</f>
        <v>#VALUE!</v>
      </c>
      <c r="E98" s="203" t="e">
        <f aca="false">IF($A98&lt;End_Date,IF(Control!$C$20="Flat",Control!$C$21,VLOOKUP(Model!$A98,Euro!$B$29:$D$182,3)),0)</f>
        <v>#VALUE!</v>
      </c>
      <c r="F98" s="203" t="e">
        <f aca="false">E98*B98</f>
        <v>#VALUE!</v>
      </c>
      <c r="H98" s="204" t="e">
        <f aca="false">IF(Control!$C$27="Mid",VLOOKUP($A98,CurveFetch!$D$8:$F$367,3),VLOOKUP($A98,Euro!$B$29:$I$182,8))</f>
        <v>#VALUE!</v>
      </c>
      <c r="I98" s="204"/>
      <c r="J98" s="204" t="e">
        <f aca="false">IF($J$4="Mid",VLOOKUP($A98,Curve_Fetch,VLOOKUP(Control!$AJ$10,Control!$AI$11:$AK$22,3)),VLOOKUP($A98,Euro!$B$29:$M$182,12))</f>
        <v>#VALUE!</v>
      </c>
      <c r="K98" s="205" t="e">
        <f aca="false">IF(Control!$F$18="Physical",IF($K$4="Mid",VLOOKUP($A98,Curve_Fetch,VLOOKUP(Control!$AJ$10,Control!$AI$11:$AL$22,4)),VLOOKUP($A98,Euro!$B$29:$Q$182,16)),0)</f>
        <v>#VALUE!</v>
      </c>
      <c r="L98" s="204" t="e">
        <f aca="false">SUM(J98:K98)</f>
        <v>#VALUE!</v>
      </c>
      <c r="M98" s="204"/>
      <c r="N98" s="206" t="e">
        <f aca="false">L98+H98</f>
        <v>#VALUE!</v>
      </c>
      <c r="O98" s="206" t="e">
        <f aca="false">N98+Control!$C$39</f>
        <v>#VALUE!</v>
      </c>
      <c r="P98" s="207" t="e">
        <f aca="false">VLOOKUP($A98,CurveFetch!$D$8:$E$367,2)</f>
        <v>#VALUE!</v>
      </c>
      <c r="Q98" s="208" t="e">
        <f aca="false">P98</f>
        <v>#VALUE!</v>
      </c>
      <c r="R98" s="209" t="e">
        <f aca="true">A98-1-TODAY()</f>
        <v>#VALUE!</v>
      </c>
      <c r="S98" s="210" t="e">
        <f aca="false">VLOOKUP($A98,Curve_Fetch,VLOOKUP(Control!$AJ$10,Control!$AI$11:$AM$22,5))</f>
        <v>#VALUE!</v>
      </c>
      <c r="T98" s="211" t="e">
        <f aca="false">EURO(N98,O98,P98,Q98,S98,R98,IF(Control!$C$38="Call",1,0),0)</f>
        <v>#NAME?</v>
      </c>
      <c r="U98" s="174" t="e">
        <f aca="false">T98*B98*E98</f>
        <v>#VALUE!</v>
      </c>
      <c r="V98" s="212"/>
      <c r="W98" s="213"/>
      <c r="X98" s="213"/>
      <c r="Y98" s="213"/>
      <c r="AA98" s="214"/>
      <c r="AB98" s="214"/>
      <c r="AC98" s="215"/>
      <c r="AD98" s="216"/>
      <c r="AE98" s="217"/>
      <c r="AF98" s="218"/>
      <c r="AG98" s="219"/>
      <c r="AH98" s="220"/>
      <c r="AI98" s="174"/>
      <c r="AJ98" s="171" t="e">
        <f aca="false">Y98-L98</f>
        <v>#VALUE!</v>
      </c>
      <c r="AL98" s="208" t="e">
        <f aca="false">VLOOKUP($C98,Curve_Fetch,2)+Cost_of_Funds</f>
        <v>#VALUE!</v>
      </c>
      <c r="AM98" s="210" t="e">
        <f aca="false">1/(1+AL98/2)^(2*(C98-Val_Date)/365.25)</f>
        <v>#VALUE!</v>
      </c>
      <c r="AO98" s="222" t="e">
        <f aca="false">$B98*$E98*$AM98</f>
        <v>#VALUE!</v>
      </c>
      <c r="AP98" s="222"/>
      <c r="AQ98" s="222" t="e">
        <f aca="false">H98*AO98</f>
        <v>#VALUE!</v>
      </c>
      <c r="AR98" s="222"/>
      <c r="AS98" s="174" t="e">
        <f aca="false">J98*$AO98</f>
        <v>#VALUE!</v>
      </c>
      <c r="AT98" s="174" t="e">
        <f aca="false">K98*$AO98</f>
        <v>#VALUE!</v>
      </c>
      <c r="AU98" s="174" t="e">
        <f aca="false">L98*$AO98</f>
        <v>#VALUE!</v>
      </c>
      <c r="AV98" s="174"/>
      <c r="AW98" s="174"/>
      <c r="AY98" s="220"/>
      <c r="AZ98" s="220"/>
      <c r="BA98" s="223"/>
      <c r="BC98" s="220"/>
      <c r="BE98" s="206"/>
    </row>
    <row r="99" customFormat="false" ht="12.75" hidden="false" customHeight="false" outlineLevel="0" collapsed="false">
      <c r="A99" s="167" t="e">
        <f aca="false">([1]!edate,A98,1)</f>
        <v>#VALUE!</v>
      </c>
      <c r="B99" s="201" t="e">
        <f aca="false">A100-A99</f>
        <v>#VALUE!</v>
      </c>
      <c r="C99" s="202" t="e">
        <f aca="false">IF(Control!$F$18="Physical",Model!A100+24,Model!A100)</f>
        <v>#VALUE!</v>
      </c>
      <c r="E99" s="203" t="e">
        <f aca="false">IF($A99&lt;End_Date,IF(Control!$C$20="Flat",Control!$C$21,VLOOKUP(Model!$A99,Euro!$B$29:$D$182,3)),0)</f>
        <v>#VALUE!</v>
      </c>
      <c r="F99" s="203" t="e">
        <f aca="false">E99*B99</f>
        <v>#VALUE!</v>
      </c>
      <c r="H99" s="204" t="e">
        <f aca="false">IF(Control!$C$27="Mid",VLOOKUP($A99,CurveFetch!$D$8:$F$367,3),VLOOKUP($A99,Euro!$B$29:$I$182,8))</f>
        <v>#VALUE!</v>
      </c>
      <c r="I99" s="204"/>
      <c r="J99" s="204" t="e">
        <f aca="false">IF($J$4="Mid",VLOOKUP($A99,Curve_Fetch,VLOOKUP(Control!$AJ$10,Control!$AI$11:$AK$22,3)),VLOOKUP($A99,Euro!$B$29:$M$182,12))</f>
        <v>#VALUE!</v>
      </c>
      <c r="K99" s="205" t="e">
        <f aca="false">IF(Control!$F$18="Physical",IF($K$4="Mid",VLOOKUP($A99,Curve_Fetch,VLOOKUP(Control!$AJ$10,Control!$AI$11:$AL$22,4)),VLOOKUP($A99,Euro!$B$29:$Q$182,16)),0)</f>
        <v>#VALUE!</v>
      </c>
      <c r="L99" s="204" t="e">
        <f aca="false">SUM(J99:K99)</f>
        <v>#VALUE!</v>
      </c>
      <c r="M99" s="204"/>
      <c r="N99" s="206" t="e">
        <f aca="false">L99+H99</f>
        <v>#VALUE!</v>
      </c>
      <c r="O99" s="206" t="e">
        <f aca="false">N99+Control!$C$39</f>
        <v>#VALUE!</v>
      </c>
      <c r="P99" s="207" t="e">
        <f aca="false">VLOOKUP($A99,CurveFetch!$D$8:$E$367,2)</f>
        <v>#VALUE!</v>
      </c>
      <c r="Q99" s="208" t="e">
        <f aca="false">P99</f>
        <v>#VALUE!</v>
      </c>
      <c r="R99" s="209" t="e">
        <f aca="true">A99-1-TODAY()</f>
        <v>#VALUE!</v>
      </c>
      <c r="S99" s="210" t="e">
        <f aca="false">VLOOKUP($A99,Curve_Fetch,VLOOKUP(Control!$AJ$10,Control!$AI$11:$AM$22,5))</f>
        <v>#VALUE!</v>
      </c>
      <c r="T99" s="211" t="e">
        <f aca="false">EURO(N99,O99,P99,Q99,S99,R99,IF(Control!$C$38="Call",1,0),0)</f>
        <v>#NAME?</v>
      </c>
      <c r="U99" s="174" t="e">
        <f aca="false">T99*B99*E99</f>
        <v>#VALUE!</v>
      </c>
      <c r="V99" s="212"/>
      <c r="W99" s="213"/>
      <c r="X99" s="213"/>
      <c r="Y99" s="213"/>
      <c r="AA99" s="214"/>
      <c r="AB99" s="214"/>
      <c r="AC99" s="215"/>
      <c r="AD99" s="216"/>
      <c r="AE99" s="217"/>
      <c r="AF99" s="218"/>
      <c r="AG99" s="219"/>
      <c r="AH99" s="220"/>
      <c r="AI99" s="174"/>
      <c r="AJ99" s="171" t="e">
        <f aca="false">Y99-L99</f>
        <v>#VALUE!</v>
      </c>
      <c r="AL99" s="208" t="e">
        <f aca="false">VLOOKUP($C99,Curve_Fetch,2)+Cost_of_Funds</f>
        <v>#VALUE!</v>
      </c>
      <c r="AM99" s="210" t="e">
        <f aca="false">1/(1+AL99/2)^(2*(C99-Val_Date)/365.25)</f>
        <v>#VALUE!</v>
      </c>
      <c r="AO99" s="222" t="e">
        <f aca="false">$B99*$E99*$AM99</f>
        <v>#VALUE!</v>
      </c>
      <c r="AP99" s="222"/>
      <c r="AQ99" s="222" t="e">
        <f aca="false">H99*AO99</f>
        <v>#VALUE!</v>
      </c>
      <c r="AR99" s="222"/>
      <c r="AS99" s="174" t="e">
        <f aca="false">J99*$AO99</f>
        <v>#VALUE!</v>
      </c>
      <c r="AT99" s="174" t="e">
        <f aca="false">K99*$AO99</f>
        <v>#VALUE!</v>
      </c>
      <c r="AU99" s="174" t="e">
        <f aca="false">L99*$AO99</f>
        <v>#VALUE!</v>
      </c>
      <c r="AV99" s="174"/>
      <c r="AW99" s="174"/>
      <c r="AY99" s="220"/>
      <c r="AZ99" s="220"/>
      <c r="BA99" s="223"/>
      <c r="BC99" s="220"/>
      <c r="BE99" s="206"/>
    </row>
    <row r="100" customFormat="false" ht="12.75" hidden="false" customHeight="false" outlineLevel="0" collapsed="false">
      <c r="A100" s="167" t="e">
        <f aca="false">([1]!edate,A99,1)</f>
        <v>#VALUE!</v>
      </c>
      <c r="B100" s="201" t="e">
        <f aca="false">A101-A100</f>
        <v>#VALUE!</v>
      </c>
      <c r="C100" s="202" t="e">
        <f aca="false">IF(Control!$F$18="Physical",Model!A101+24,Model!A101)</f>
        <v>#VALUE!</v>
      </c>
      <c r="E100" s="203" t="e">
        <f aca="false">IF($A100&lt;End_Date,IF(Control!$C$20="Flat",Control!$C$21,VLOOKUP(Model!$A100,Euro!$B$29:$D$182,3)),0)</f>
        <v>#VALUE!</v>
      </c>
      <c r="F100" s="203" t="e">
        <f aca="false">E100*B100</f>
        <v>#VALUE!</v>
      </c>
      <c r="H100" s="204" t="e">
        <f aca="false">IF(Control!$C$27="Mid",VLOOKUP($A100,CurveFetch!$D$8:$F$367,3),VLOOKUP($A100,Euro!$B$29:$I$182,8))</f>
        <v>#VALUE!</v>
      </c>
      <c r="I100" s="204"/>
      <c r="J100" s="204" t="e">
        <f aca="false">IF($J$4="Mid",VLOOKUP($A100,Curve_Fetch,VLOOKUP(Control!$AJ$10,Control!$AI$11:$AK$22,3)),VLOOKUP($A100,Euro!$B$29:$M$182,12))</f>
        <v>#VALUE!</v>
      </c>
      <c r="K100" s="205" t="e">
        <f aca="false">IF(Control!$F$18="Physical",IF($K$4="Mid",VLOOKUP($A100,Curve_Fetch,VLOOKUP(Control!$AJ$10,Control!$AI$11:$AL$22,4)),VLOOKUP($A100,Euro!$B$29:$Q$182,16)),0)</f>
        <v>#VALUE!</v>
      </c>
      <c r="L100" s="204" t="e">
        <f aca="false">SUM(J100:K100)</f>
        <v>#VALUE!</v>
      </c>
      <c r="M100" s="204"/>
      <c r="N100" s="206" t="e">
        <f aca="false">L100+H100</f>
        <v>#VALUE!</v>
      </c>
      <c r="O100" s="206" t="e">
        <f aca="false">N100+Control!$C$39</f>
        <v>#VALUE!</v>
      </c>
      <c r="P100" s="207" t="e">
        <f aca="false">VLOOKUP($A100,CurveFetch!$D$8:$E$367,2)</f>
        <v>#VALUE!</v>
      </c>
      <c r="Q100" s="208" t="e">
        <f aca="false">P100</f>
        <v>#VALUE!</v>
      </c>
      <c r="R100" s="209" t="e">
        <f aca="true">A100-1-TODAY()</f>
        <v>#VALUE!</v>
      </c>
      <c r="S100" s="210" t="e">
        <f aca="false">VLOOKUP($A100,Curve_Fetch,VLOOKUP(Control!$AJ$10,Control!$AI$11:$AM$22,5))</f>
        <v>#VALUE!</v>
      </c>
      <c r="T100" s="211" t="e">
        <f aca="false">EURO(N100,O100,P100,Q100,S100,R100,IF(Control!$C$38="Call",1,0),0)</f>
        <v>#NAME?</v>
      </c>
      <c r="U100" s="174" t="e">
        <f aca="false">T100*B100*E100</f>
        <v>#VALUE!</v>
      </c>
      <c r="V100" s="212"/>
      <c r="W100" s="213"/>
      <c r="X100" s="213"/>
      <c r="Y100" s="213"/>
      <c r="AA100" s="214"/>
      <c r="AB100" s="214"/>
      <c r="AC100" s="215"/>
      <c r="AD100" s="216"/>
      <c r="AE100" s="217"/>
      <c r="AF100" s="218"/>
      <c r="AG100" s="219"/>
      <c r="AH100" s="220"/>
      <c r="AI100" s="174"/>
      <c r="AJ100" s="171" t="e">
        <f aca="false">Y100-L100</f>
        <v>#VALUE!</v>
      </c>
      <c r="AL100" s="208" t="e">
        <f aca="false">VLOOKUP($C100,Curve_Fetch,2)+Cost_of_Funds</f>
        <v>#VALUE!</v>
      </c>
      <c r="AM100" s="210" t="e">
        <f aca="false">1/(1+AL100/2)^(2*(C100-Val_Date)/365.25)</f>
        <v>#VALUE!</v>
      </c>
      <c r="AO100" s="222" t="e">
        <f aca="false">$B100*$E100*$AM100</f>
        <v>#VALUE!</v>
      </c>
      <c r="AP100" s="222"/>
      <c r="AQ100" s="222" t="e">
        <f aca="false">H100*AO100</f>
        <v>#VALUE!</v>
      </c>
      <c r="AR100" s="222"/>
      <c r="AS100" s="174" t="e">
        <f aca="false">J100*$AO100</f>
        <v>#VALUE!</v>
      </c>
      <c r="AT100" s="174" t="e">
        <f aca="false">K100*$AO100</f>
        <v>#VALUE!</v>
      </c>
      <c r="AU100" s="174" t="e">
        <f aca="false">L100*$AO100</f>
        <v>#VALUE!</v>
      </c>
      <c r="AV100" s="174"/>
      <c r="AW100" s="174"/>
      <c r="AY100" s="220"/>
      <c r="AZ100" s="220"/>
      <c r="BA100" s="223"/>
      <c r="BC100" s="220"/>
      <c r="BE100" s="206"/>
    </row>
    <row r="101" customFormat="false" ht="12.75" hidden="false" customHeight="false" outlineLevel="0" collapsed="false">
      <c r="A101" s="167" t="e">
        <f aca="false">([1]!edate,A100,1)</f>
        <v>#VALUE!</v>
      </c>
      <c r="B101" s="201" t="e">
        <f aca="false">A102-A101</f>
        <v>#VALUE!</v>
      </c>
      <c r="C101" s="202" t="e">
        <f aca="false">IF(Control!$F$18="Physical",Model!A102+24,Model!A102)</f>
        <v>#VALUE!</v>
      </c>
      <c r="E101" s="203" t="e">
        <f aca="false">IF($A101&lt;End_Date,IF(Control!$C$20="Flat",Control!$C$21,VLOOKUP(Model!$A101,Euro!$B$29:$D$182,3)),0)</f>
        <v>#VALUE!</v>
      </c>
      <c r="F101" s="203" t="e">
        <f aca="false">E101*B101</f>
        <v>#VALUE!</v>
      </c>
      <c r="H101" s="204" t="e">
        <f aca="false">IF(Control!$C$27="Mid",VLOOKUP($A101,CurveFetch!$D$8:$F$367,3),VLOOKUP($A101,Euro!$B$29:$I$182,8))</f>
        <v>#VALUE!</v>
      </c>
      <c r="I101" s="204"/>
      <c r="J101" s="204" t="e">
        <f aca="false">IF($J$4="Mid",VLOOKUP($A101,Curve_Fetch,VLOOKUP(Control!$AJ$10,Control!$AI$11:$AK$22,3)),VLOOKUP($A101,Euro!$B$29:$M$182,12))</f>
        <v>#VALUE!</v>
      </c>
      <c r="K101" s="205" t="e">
        <f aca="false">IF(Control!$F$18="Physical",IF($K$4="Mid",VLOOKUP($A101,Curve_Fetch,VLOOKUP(Control!$AJ$10,Control!$AI$11:$AL$22,4)),VLOOKUP($A101,Euro!$B$29:$Q$182,16)),0)</f>
        <v>#VALUE!</v>
      </c>
      <c r="L101" s="204" t="e">
        <f aca="false">SUM(J101:K101)</f>
        <v>#VALUE!</v>
      </c>
      <c r="M101" s="204"/>
      <c r="N101" s="206" t="e">
        <f aca="false">L101+H101</f>
        <v>#VALUE!</v>
      </c>
      <c r="O101" s="206" t="e">
        <f aca="false">N101+Control!$C$39</f>
        <v>#VALUE!</v>
      </c>
      <c r="P101" s="207" t="e">
        <f aca="false">VLOOKUP($A101,CurveFetch!$D$8:$E$367,2)</f>
        <v>#VALUE!</v>
      </c>
      <c r="Q101" s="208" t="e">
        <f aca="false">P101</f>
        <v>#VALUE!</v>
      </c>
      <c r="R101" s="209" t="e">
        <f aca="true">A101-1-TODAY()</f>
        <v>#VALUE!</v>
      </c>
      <c r="S101" s="210" t="e">
        <f aca="false">VLOOKUP($A101,Curve_Fetch,VLOOKUP(Control!$AJ$10,Control!$AI$11:$AM$22,5))</f>
        <v>#VALUE!</v>
      </c>
      <c r="T101" s="211" t="e">
        <f aca="false">EURO(N101,O101,P101,Q101,S101,R101,IF(Control!$C$38="Call",1,0),0)</f>
        <v>#NAME?</v>
      </c>
      <c r="U101" s="174" t="e">
        <f aca="false">T101*B101*E101</f>
        <v>#VALUE!</v>
      </c>
      <c r="V101" s="212"/>
      <c r="W101" s="213"/>
      <c r="X101" s="213"/>
      <c r="Y101" s="213"/>
      <c r="AA101" s="214"/>
      <c r="AB101" s="214"/>
      <c r="AC101" s="215"/>
      <c r="AD101" s="216"/>
      <c r="AE101" s="217"/>
      <c r="AF101" s="218"/>
      <c r="AG101" s="219"/>
      <c r="AH101" s="220"/>
      <c r="AI101" s="174"/>
      <c r="AJ101" s="171" t="e">
        <f aca="false">Y101-L101</f>
        <v>#VALUE!</v>
      </c>
      <c r="AL101" s="208" t="e">
        <f aca="false">VLOOKUP($C101,Curve_Fetch,2)+Cost_of_Funds</f>
        <v>#VALUE!</v>
      </c>
      <c r="AM101" s="210" t="e">
        <f aca="false">1/(1+AL101/2)^(2*(C101-Val_Date)/365.25)</f>
        <v>#VALUE!</v>
      </c>
      <c r="AO101" s="222" t="e">
        <f aca="false">$B101*$E101*$AM101</f>
        <v>#VALUE!</v>
      </c>
      <c r="AP101" s="222"/>
      <c r="AQ101" s="222" t="e">
        <f aca="false">H101*AO101</f>
        <v>#VALUE!</v>
      </c>
      <c r="AR101" s="222"/>
      <c r="AS101" s="174" t="e">
        <f aca="false">J101*$AO101</f>
        <v>#VALUE!</v>
      </c>
      <c r="AT101" s="174" t="e">
        <f aca="false">K101*$AO101</f>
        <v>#VALUE!</v>
      </c>
      <c r="AU101" s="174" t="e">
        <f aca="false">L101*$AO101</f>
        <v>#VALUE!</v>
      </c>
      <c r="AV101" s="174"/>
      <c r="AW101" s="174"/>
      <c r="AY101" s="220"/>
      <c r="AZ101" s="220"/>
      <c r="BA101" s="223"/>
      <c r="BC101" s="220"/>
      <c r="BE101" s="206"/>
    </row>
    <row r="102" customFormat="false" ht="12.75" hidden="false" customHeight="false" outlineLevel="0" collapsed="false">
      <c r="A102" s="167" t="e">
        <f aca="false">([1]!edate,A101,1)</f>
        <v>#VALUE!</v>
      </c>
      <c r="B102" s="201" t="e">
        <f aca="false">A103-A102</f>
        <v>#VALUE!</v>
      </c>
      <c r="C102" s="202" t="e">
        <f aca="false">IF(Control!$F$18="Physical",Model!A103+24,Model!A103)</f>
        <v>#VALUE!</v>
      </c>
      <c r="E102" s="203" t="e">
        <f aca="false">IF($A102&lt;End_Date,IF(Control!$C$20="Flat",Control!$C$21,VLOOKUP(Model!$A102,Euro!$B$29:$D$182,3)),0)</f>
        <v>#VALUE!</v>
      </c>
      <c r="F102" s="203" t="e">
        <f aca="false">E102*B102</f>
        <v>#VALUE!</v>
      </c>
      <c r="H102" s="204" t="e">
        <f aca="false">IF(Control!$C$27="Mid",VLOOKUP($A102,CurveFetch!$D$8:$F$367,3),VLOOKUP($A102,Euro!$B$29:$I$182,8))</f>
        <v>#VALUE!</v>
      </c>
      <c r="I102" s="204"/>
      <c r="J102" s="204" t="e">
        <f aca="false">IF($J$4="Mid",VLOOKUP($A102,Curve_Fetch,VLOOKUP(Control!$AJ$10,Control!$AI$11:$AK$22,3)),VLOOKUP($A102,Euro!$B$29:$M$182,12))</f>
        <v>#VALUE!</v>
      </c>
      <c r="K102" s="205" t="e">
        <f aca="false">IF(Control!$F$18="Physical",IF($K$4="Mid",VLOOKUP($A102,Curve_Fetch,VLOOKUP(Control!$AJ$10,Control!$AI$11:$AL$22,4)),VLOOKUP($A102,Euro!$B$29:$Q$182,16)),0)</f>
        <v>#VALUE!</v>
      </c>
      <c r="L102" s="204" t="e">
        <f aca="false">SUM(J102:K102)</f>
        <v>#VALUE!</v>
      </c>
      <c r="M102" s="204"/>
      <c r="N102" s="206" t="e">
        <f aca="false">L102+H102</f>
        <v>#VALUE!</v>
      </c>
      <c r="O102" s="206" t="e">
        <f aca="false">N102+Control!$C$39</f>
        <v>#VALUE!</v>
      </c>
      <c r="P102" s="207" t="e">
        <f aca="false">VLOOKUP($A102,CurveFetch!$D$8:$E$367,2)</f>
        <v>#VALUE!</v>
      </c>
      <c r="Q102" s="208" t="e">
        <f aca="false">P102</f>
        <v>#VALUE!</v>
      </c>
      <c r="R102" s="209" t="e">
        <f aca="true">A102-1-TODAY()</f>
        <v>#VALUE!</v>
      </c>
      <c r="S102" s="210" t="e">
        <f aca="false">VLOOKUP($A102,Curve_Fetch,VLOOKUP(Control!$AJ$10,Control!$AI$11:$AM$22,5))</f>
        <v>#VALUE!</v>
      </c>
      <c r="T102" s="211" t="e">
        <f aca="false">EURO(N102,O102,P102,Q102,S102,R102,IF(Control!$C$38="Call",1,0),0)</f>
        <v>#NAME?</v>
      </c>
      <c r="U102" s="174" t="e">
        <f aca="false">T102*B102*E102</f>
        <v>#VALUE!</v>
      </c>
      <c r="V102" s="212"/>
      <c r="W102" s="213"/>
      <c r="X102" s="213"/>
      <c r="Y102" s="213"/>
      <c r="AA102" s="214"/>
      <c r="AB102" s="214"/>
      <c r="AC102" s="215"/>
      <c r="AD102" s="216"/>
      <c r="AE102" s="217"/>
      <c r="AF102" s="218"/>
      <c r="AG102" s="219"/>
      <c r="AH102" s="220"/>
      <c r="AI102" s="174"/>
      <c r="AJ102" s="171" t="e">
        <f aca="false">Y102-L102</f>
        <v>#VALUE!</v>
      </c>
      <c r="AL102" s="208" t="e">
        <f aca="false">VLOOKUP($C102,Curve_Fetch,2)+Cost_of_Funds</f>
        <v>#VALUE!</v>
      </c>
      <c r="AM102" s="210" t="e">
        <f aca="false">1/(1+AL102/2)^(2*(C102-Val_Date)/365.25)</f>
        <v>#VALUE!</v>
      </c>
      <c r="AO102" s="222" t="e">
        <f aca="false">$B102*$E102*$AM102</f>
        <v>#VALUE!</v>
      </c>
      <c r="AP102" s="222"/>
      <c r="AQ102" s="222" t="e">
        <f aca="false">H102*AO102</f>
        <v>#VALUE!</v>
      </c>
      <c r="AR102" s="222"/>
      <c r="AS102" s="174" t="e">
        <f aca="false">J102*$AO102</f>
        <v>#VALUE!</v>
      </c>
      <c r="AT102" s="174" t="e">
        <f aca="false">K102*$AO102</f>
        <v>#VALUE!</v>
      </c>
      <c r="AU102" s="174" t="e">
        <f aca="false">L102*$AO102</f>
        <v>#VALUE!</v>
      </c>
      <c r="AV102" s="174"/>
      <c r="AW102" s="174"/>
      <c r="AY102" s="220"/>
      <c r="AZ102" s="220"/>
      <c r="BA102" s="223"/>
      <c r="BC102" s="220"/>
      <c r="BE102" s="206"/>
    </row>
    <row r="103" customFormat="false" ht="12.75" hidden="false" customHeight="false" outlineLevel="0" collapsed="false">
      <c r="A103" s="167" t="e">
        <f aca="false">([1]!edate,A102,1)</f>
        <v>#VALUE!</v>
      </c>
      <c r="B103" s="201" t="e">
        <f aca="false">A104-A103</f>
        <v>#VALUE!</v>
      </c>
      <c r="C103" s="202" t="e">
        <f aca="false">IF(Control!$F$18="Physical",Model!A104+24,Model!A104)</f>
        <v>#VALUE!</v>
      </c>
      <c r="E103" s="203" t="e">
        <f aca="false">IF($A103&lt;End_Date,IF(Control!$C$20="Flat",Control!$C$21,VLOOKUP(Model!$A103,Euro!$B$29:$D$182,3)),0)</f>
        <v>#VALUE!</v>
      </c>
      <c r="F103" s="203" t="e">
        <f aca="false">E103*B103</f>
        <v>#VALUE!</v>
      </c>
      <c r="H103" s="204" t="e">
        <f aca="false">IF(Control!$C$27="Mid",VLOOKUP($A103,CurveFetch!$D$8:$F$367,3),VLOOKUP($A103,Euro!$B$29:$I$182,8))</f>
        <v>#VALUE!</v>
      </c>
      <c r="I103" s="204"/>
      <c r="J103" s="204" t="e">
        <f aca="false">IF($J$4="Mid",VLOOKUP($A103,Curve_Fetch,VLOOKUP(Control!$AJ$10,Control!$AI$11:$AK$22,3)),VLOOKUP($A103,Euro!$B$29:$M$182,12))</f>
        <v>#VALUE!</v>
      </c>
      <c r="K103" s="205" t="e">
        <f aca="false">IF(Control!$F$18="Physical",IF($K$4="Mid",VLOOKUP($A103,Curve_Fetch,VLOOKUP(Control!$AJ$10,Control!$AI$11:$AL$22,4)),VLOOKUP($A103,Euro!$B$29:$Q$182,16)),0)</f>
        <v>#VALUE!</v>
      </c>
      <c r="L103" s="204" t="e">
        <f aca="false">SUM(J103:K103)</f>
        <v>#VALUE!</v>
      </c>
      <c r="M103" s="204"/>
      <c r="N103" s="206" t="e">
        <f aca="false">L103+H103</f>
        <v>#VALUE!</v>
      </c>
      <c r="O103" s="206" t="e">
        <f aca="false">N103+Control!$C$39</f>
        <v>#VALUE!</v>
      </c>
      <c r="P103" s="207" t="e">
        <f aca="false">VLOOKUP($A103,CurveFetch!$D$8:$E$367,2)</f>
        <v>#VALUE!</v>
      </c>
      <c r="Q103" s="208" t="e">
        <f aca="false">P103</f>
        <v>#VALUE!</v>
      </c>
      <c r="R103" s="209" t="e">
        <f aca="true">A103-1-TODAY()</f>
        <v>#VALUE!</v>
      </c>
      <c r="S103" s="210" t="e">
        <f aca="false">VLOOKUP($A103,Curve_Fetch,VLOOKUP(Control!$AJ$10,Control!$AI$11:$AM$22,5))</f>
        <v>#VALUE!</v>
      </c>
      <c r="T103" s="211" t="e">
        <f aca="false">EURO(N103,O103,P103,Q103,S103,R103,IF(Control!$C$38="Call",1,0),0)</f>
        <v>#NAME?</v>
      </c>
      <c r="U103" s="174" t="e">
        <f aca="false">T103*B103*E103</f>
        <v>#VALUE!</v>
      </c>
      <c r="V103" s="212"/>
      <c r="W103" s="213"/>
      <c r="X103" s="213"/>
      <c r="Y103" s="213"/>
      <c r="AA103" s="214"/>
      <c r="AB103" s="214"/>
      <c r="AC103" s="215"/>
      <c r="AD103" s="216"/>
      <c r="AE103" s="217"/>
      <c r="AF103" s="218"/>
      <c r="AG103" s="219"/>
      <c r="AH103" s="220"/>
      <c r="AI103" s="174"/>
      <c r="AJ103" s="171" t="e">
        <f aca="false">Y103-L103</f>
        <v>#VALUE!</v>
      </c>
      <c r="AL103" s="208" t="e">
        <f aca="false">VLOOKUP($C103,Curve_Fetch,2)+Cost_of_Funds</f>
        <v>#VALUE!</v>
      </c>
      <c r="AM103" s="210" t="e">
        <f aca="false">1/(1+AL103/2)^(2*(C103-Val_Date)/365.25)</f>
        <v>#VALUE!</v>
      </c>
      <c r="AO103" s="222" t="e">
        <f aca="false">$B103*$E103*$AM103</f>
        <v>#VALUE!</v>
      </c>
      <c r="AP103" s="222"/>
      <c r="AQ103" s="222" t="e">
        <f aca="false">H103*AO103</f>
        <v>#VALUE!</v>
      </c>
      <c r="AR103" s="222"/>
      <c r="AS103" s="174" t="e">
        <f aca="false">J103*$AO103</f>
        <v>#VALUE!</v>
      </c>
      <c r="AT103" s="174" t="e">
        <f aca="false">K103*$AO103</f>
        <v>#VALUE!</v>
      </c>
      <c r="AU103" s="174" t="e">
        <f aca="false">L103*$AO103</f>
        <v>#VALUE!</v>
      </c>
      <c r="AV103" s="174"/>
      <c r="AW103" s="174"/>
      <c r="AY103" s="220"/>
      <c r="AZ103" s="220"/>
      <c r="BA103" s="223"/>
      <c r="BC103" s="220"/>
      <c r="BE103" s="206"/>
    </row>
    <row r="104" customFormat="false" ht="12.75" hidden="false" customHeight="false" outlineLevel="0" collapsed="false">
      <c r="A104" s="167" t="e">
        <f aca="false">([1]!edate,A103,1)</f>
        <v>#VALUE!</v>
      </c>
      <c r="B104" s="201" t="e">
        <f aca="false">A105-A104</f>
        <v>#VALUE!</v>
      </c>
      <c r="C104" s="202" t="e">
        <f aca="false">IF(Control!$F$18="Physical",Model!A105+24,Model!A105)</f>
        <v>#VALUE!</v>
      </c>
      <c r="E104" s="203" t="e">
        <f aca="false">IF($A104&lt;End_Date,IF(Control!$C$20="Flat",Control!$C$21,VLOOKUP(Model!$A104,Euro!$B$29:$D$182,3)),0)</f>
        <v>#VALUE!</v>
      </c>
      <c r="F104" s="203" t="e">
        <f aca="false">E104*B104</f>
        <v>#VALUE!</v>
      </c>
      <c r="H104" s="204" t="e">
        <f aca="false">IF(Control!$C$27="Mid",VLOOKUP($A104,CurveFetch!$D$8:$F$367,3),VLOOKUP($A104,Euro!$B$29:$I$182,8))</f>
        <v>#VALUE!</v>
      </c>
      <c r="I104" s="204"/>
      <c r="J104" s="204" t="e">
        <f aca="false">IF($J$4="Mid",VLOOKUP($A104,Curve_Fetch,VLOOKUP(Control!$AJ$10,Control!$AI$11:$AK$22,3)),VLOOKUP($A104,Euro!$B$29:$M$182,12))</f>
        <v>#VALUE!</v>
      </c>
      <c r="K104" s="205" t="e">
        <f aca="false">IF(Control!$F$18="Physical",IF($K$4="Mid",VLOOKUP($A104,Curve_Fetch,VLOOKUP(Control!$AJ$10,Control!$AI$11:$AL$22,4)),VLOOKUP($A104,Euro!$B$29:$Q$182,16)),0)</f>
        <v>#VALUE!</v>
      </c>
      <c r="L104" s="204" t="e">
        <f aca="false">SUM(J104:K104)</f>
        <v>#VALUE!</v>
      </c>
      <c r="M104" s="204"/>
      <c r="N104" s="206" t="e">
        <f aca="false">L104+H104</f>
        <v>#VALUE!</v>
      </c>
      <c r="O104" s="206" t="e">
        <f aca="false">N104+Control!$C$39</f>
        <v>#VALUE!</v>
      </c>
      <c r="P104" s="207" t="e">
        <f aca="false">VLOOKUP($A104,CurveFetch!$D$8:$E$367,2)</f>
        <v>#VALUE!</v>
      </c>
      <c r="Q104" s="208" t="e">
        <f aca="false">P104</f>
        <v>#VALUE!</v>
      </c>
      <c r="R104" s="209" t="e">
        <f aca="true">A104-1-TODAY()</f>
        <v>#VALUE!</v>
      </c>
      <c r="S104" s="210" t="e">
        <f aca="false">VLOOKUP($A104,Curve_Fetch,VLOOKUP(Control!$AJ$10,Control!$AI$11:$AM$22,5))</f>
        <v>#VALUE!</v>
      </c>
      <c r="T104" s="211" t="e">
        <f aca="false">EURO(N104,O104,P104,Q104,S104,R104,IF(Control!$C$38="Call",1,0),0)</f>
        <v>#NAME?</v>
      </c>
      <c r="U104" s="174" t="e">
        <f aca="false">T104*B104*E104</f>
        <v>#VALUE!</v>
      </c>
      <c r="V104" s="212"/>
      <c r="W104" s="213"/>
      <c r="X104" s="213"/>
      <c r="Y104" s="213"/>
      <c r="AA104" s="214"/>
      <c r="AB104" s="214"/>
      <c r="AC104" s="215"/>
      <c r="AD104" s="216"/>
      <c r="AE104" s="217"/>
      <c r="AF104" s="218"/>
      <c r="AG104" s="219"/>
      <c r="AH104" s="220"/>
      <c r="AI104" s="174"/>
      <c r="AJ104" s="171" t="e">
        <f aca="false">Y104-L104</f>
        <v>#VALUE!</v>
      </c>
      <c r="AL104" s="208" t="e">
        <f aca="false">VLOOKUP($C104,Curve_Fetch,2)+Cost_of_Funds</f>
        <v>#VALUE!</v>
      </c>
      <c r="AM104" s="210" t="e">
        <f aca="false">1/(1+AL104/2)^(2*(C104-Val_Date)/365.25)</f>
        <v>#VALUE!</v>
      </c>
      <c r="AO104" s="222" t="e">
        <f aca="false">$B104*$E104*$AM104</f>
        <v>#VALUE!</v>
      </c>
      <c r="AP104" s="222"/>
      <c r="AQ104" s="222" t="e">
        <f aca="false">H104*AO104</f>
        <v>#VALUE!</v>
      </c>
      <c r="AR104" s="222"/>
      <c r="AS104" s="174" t="e">
        <f aca="false">J104*$AO104</f>
        <v>#VALUE!</v>
      </c>
      <c r="AT104" s="174" t="e">
        <f aca="false">K104*$AO104</f>
        <v>#VALUE!</v>
      </c>
      <c r="AU104" s="174" t="e">
        <f aca="false">L104*$AO104</f>
        <v>#VALUE!</v>
      </c>
      <c r="AV104" s="174"/>
      <c r="AW104" s="174"/>
      <c r="AY104" s="220"/>
      <c r="AZ104" s="220"/>
      <c r="BA104" s="223"/>
      <c r="BC104" s="220"/>
      <c r="BE104" s="206"/>
    </row>
    <row r="105" customFormat="false" ht="12.75" hidden="false" customHeight="false" outlineLevel="0" collapsed="false">
      <c r="A105" s="167" t="e">
        <f aca="false">([1]!edate,A104,1)</f>
        <v>#VALUE!</v>
      </c>
      <c r="B105" s="201" t="e">
        <f aca="false">A106-A105</f>
        <v>#VALUE!</v>
      </c>
      <c r="C105" s="202" t="e">
        <f aca="false">IF(Control!$F$18="Physical",Model!A106+24,Model!A106)</f>
        <v>#VALUE!</v>
      </c>
      <c r="E105" s="203" t="e">
        <f aca="false">IF($A105&lt;End_Date,IF(Control!$C$20="Flat",Control!$C$21,VLOOKUP(Model!$A105,Euro!$B$29:$D$182,3)),0)</f>
        <v>#VALUE!</v>
      </c>
      <c r="F105" s="203" t="e">
        <f aca="false">E105*B105</f>
        <v>#VALUE!</v>
      </c>
      <c r="H105" s="204" t="e">
        <f aca="false">IF(Control!$C$27="Mid",VLOOKUP($A105,CurveFetch!$D$8:$F$367,3),VLOOKUP($A105,Euro!$B$29:$I$182,8))</f>
        <v>#VALUE!</v>
      </c>
      <c r="I105" s="204"/>
      <c r="J105" s="204" t="e">
        <f aca="false">IF($J$4="Mid",VLOOKUP($A105,Curve_Fetch,VLOOKUP(Control!$AJ$10,Control!$AI$11:$AK$22,3)),VLOOKUP($A105,Euro!$B$29:$M$182,12))</f>
        <v>#VALUE!</v>
      </c>
      <c r="K105" s="205" t="e">
        <f aca="false">IF(Control!$F$18="Physical",IF($K$4="Mid",VLOOKUP($A105,Curve_Fetch,VLOOKUP(Control!$AJ$10,Control!$AI$11:$AL$22,4)),VLOOKUP($A105,Euro!$B$29:$Q$182,16)),0)</f>
        <v>#VALUE!</v>
      </c>
      <c r="L105" s="204" t="e">
        <f aca="false">SUM(J105:K105)</f>
        <v>#VALUE!</v>
      </c>
      <c r="M105" s="204"/>
      <c r="N105" s="206" t="e">
        <f aca="false">L105+H105</f>
        <v>#VALUE!</v>
      </c>
      <c r="O105" s="206" t="e">
        <f aca="false">N105+Control!$C$39</f>
        <v>#VALUE!</v>
      </c>
      <c r="P105" s="207" t="e">
        <f aca="false">VLOOKUP($A105,CurveFetch!$D$8:$E$367,2)</f>
        <v>#VALUE!</v>
      </c>
      <c r="Q105" s="208" t="e">
        <f aca="false">P105</f>
        <v>#VALUE!</v>
      </c>
      <c r="R105" s="209" t="e">
        <f aca="true">A105-1-TODAY()</f>
        <v>#VALUE!</v>
      </c>
      <c r="S105" s="210" t="e">
        <f aca="false">VLOOKUP($A105,Curve_Fetch,VLOOKUP(Control!$AJ$10,Control!$AI$11:$AM$22,5))</f>
        <v>#VALUE!</v>
      </c>
      <c r="T105" s="211" t="e">
        <f aca="false">EURO(N105,O105,P105,Q105,S105,R105,IF(Control!$C$38="Call",1,0),0)</f>
        <v>#NAME?</v>
      </c>
      <c r="U105" s="174" t="e">
        <f aca="false">T105*B105*E105</f>
        <v>#VALUE!</v>
      </c>
      <c r="V105" s="212"/>
      <c r="W105" s="213"/>
      <c r="X105" s="213"/>
      <c r="Y105" s="213"/>
      <c r="AA105" s="214"/>
      <c r="AB105" s="214"/>
      <c r="AC105" s="215"/>
      <c r="AD105" s="216"/>
      <c r="AE105" s="217"/>
      <c r="AF105" s="218"/>
      <c r="AG105" s="219"/>
      <c r="AH105" s="220"/>
      <c r="AI105" s="174"/>
      <c r="AJ105" s="171" t="e">
        <f aca="false">Y105-L105</f>
        <v>#VALUE!</v>
      </c>
      <c r="AL105" s="208" t="e">
        <f aca="false">VLOOKUP($C105,Curve_Fetch,2)+Cost_of_Funds</f>
        <v>#VALUE!</v>
      </c>
      <c r="AM105" s="210" t="e">
        <f aca="false">1/(1+AL105/2)^(2*(C105-Val_Date)/365.25)</f>
        <v>#VALUE!</v>
      </c>
      <c r="AO105" s="222" t="e">
        <f aca="false">$B105*$E105*$AM105</f>
        <v>#VALUE!</v>
      </c>
      <c r="AP105" s="222"/>
      <c r="AQ105" s="222" t="e">
        <f aca="false">H105*AO105</f>
        <v>#VALUE!</v>
      </c>
      <c r="AR105" s="222"/>
      <c r="AS105" s="174" t="e">
        <f aca="false">J105*$AO105</f>
        <v>#VALUE!</v>
      </c>
      <c r="AT105" s="174" t="e">
        <f aca="false">K105*$AO105</f>
        <v>#VALUE!</v>
      </c>
      <c r="AU105" s="174" t="e">
        <f aca="false">L105*$AO105</f>
        <v>#VALUE!</v>
      </c>
      <c r="AV105" s="174"/>
      <c r="AW105" s="174"/>
      <c r="AY105" s="220"/>
      <c r="AZ105" s="220"/>
      <c r="BA105" s="223"/>
      <c r="BC105" s="220"/>
      <c r="BE105" s="206"/>
    </row>
    <row r="106" customFormat="false" ht="12.75" hidden="false" customHeight="false" outlineLevel="0" collapsed="false">
      <c r="A106" s="167" t="e">
        <f aca="false">([1]!edate,A105,1)</f>
        <v>#VALUE!</v>
      </c>
      <c r="B106" s="201" t="e">
        <f aca="false">A107-A106</f>
        <v>#VALUE!</v>
      </c>
      <c r="C106" s="202" t="e">
        <f aca="false">IF(Control!$F$18="Physical",Model!A107+24,Model!A107)</f>
        <v>#VALUE!</v>
      </c>
      <c r="E106" s="203" t="e">
        <f aca="false">IF($A106&lt;End_Date,IF(Control!$C$20="Flat",Control!$C$21,VLOOKUP(Model!$A106,Euro!$B$29:$D$182,3)),0)</f>
        <v>#VALUE!</v>
      </c>
      <c r="F106" s="203" t="e">
        <f aca="false">E106*B106</f>
        <v>#VALUE!</v>
      </c>
      <c r="H106" s="204" t="e">
        <f aca="false">IF(Control!$C$27="Mid",VLOOKUP($A106,CurveFetch!$D$8:$F$367,3),VLOOKUP($A106,Euro!$B$29:$I$182,8))</f>
        <v>#VALUE!</v>
      </c>
      <c r="I106" s="204"/>
      <c r="J106" s="204" t="e">
        <f aca="false">IF($J$4="Mid",VLOOKUP($A106,Curve_Fetch,VLOOKUP(Control!$AJ$10,Control!$AI$11:$AK$22,3)),VLOOKUP($A106,Euro!$B$29:$M$182,12))</f>
        <v>#VALUE!</v>
      </c>
      <c r="K106" s="205" t="e">
        <f aca="false">IF(Control!$F$18="Physical",IF($K$4="Mid",VLOOKUP($A106,Curve_Fetch,VLOOKUP(Control!$AJ$10,Control!$AI$11:$AL$22,4)),VLOOKUP($A106,Euro!$B$29:$Q$182,16)),0)</f>
        <v>#VALUE!</v>
      </c>
      <c r="L106" s="204" t="e">
        <f aca="false">SUM(J106:K106)</f>
        <v>#VALUE!</v>
      </c>
      <c r="M106" s="204"/>
      <c r="N106" s="206" t="e">
        <f aca="false">L106+H106</f>
        <v>#VALUE!</v>
      </c>
      <c r="O106" s="206" t="e">
        <f aca="false">N106+Control!$C$39</f>
        <v>#VALUE!</v>
      </c>
      <c r="P106" s="207" t="e">
        <f aca="false">VLOOKUP($A106,CurveFetch!$D$8:$E$367,2)</f>
        <v>#VALUE!</v>
      </c>
      <c r="Q106" s="208" t="e">
        <f aca="false">P106</f>
        <v>#VALUE!</v>
      </c>
      <c r="R106" s="209" t="e">
        <f aca="true">A106-1-TODAY()</f>
        <v>#VALUE!</v>
      </c>
      <c r="S106" s="210" t="e">
        <f aca="false">VLOOKUP($A106,Curve_Fetch,VLOOKUP(Control!$AJ$10,Control!$AI$11:$AM$22,5))</f>
        <v>#VALUE!</v>
      </c>
      <c r="T106" s="211" t="e">
        <f aca="false">EURO(N106,O106,P106,Q106,S106,R106,IF(Control!$C$38="Call",1,0),0)</f>
        <v>#NAME?</v>
      </c>
      <c r="U106" s="174" t="e">
        <f aca="false">T106*B106*E106</f>
        <v>#VALUE!</v>
      </c>
      <c r="V106" s="212"/>
      <c r="W106" s="213"/>
      <c r="X106" s="213"/>
      <c r="Y106" s="213"/>
      <c r="AA106" s="214"/>
      <c r="AB106" s="214"/>
      <c r="AC106" s="215"/>
      <c r="AD106" s="216"/>
      <c r="AE106" s="217"/>
      <c r="AF106" s="218"/>
      <c r="AG106" s="219"/>
      <c r="AH106" s="220"/>
      <c r="AI106" s="174"/>
      <c r="AJ106" s="171" t="e">
        <f aca="false">Y106-L106</f>
        <v>#VALUE!</v>
      </c>
      <c r="AL106" s="208" t="e">
        <f aca="false">VLOOKUP($C106,Curve_Fetch,2)+Cost_of_Funds</f>
        <v>#VALUE!</v>
      </c>
      <c r="AM106" s="210" t="e">
        <f aca="false">1/(1+AL106/2)^(2*(C106-Val_Date)/365.25)</f>
        <v>#VALUE!</v>
      </c>
      <c r="AO106" s="222" t="e">
        <f aca="false">$B106*$E106*$AM106</f>
        <v>#VALUE!</v>
      </c>
      <c r="AP106" s="222"/>
      <c r="AQ106" s="222" t="e">
        <f aca="false">H106*AO106</f>
        <v>#VALUE!</v>
      </c>
      <c r="AR106" s="222"/>
      <c r="AS106" s="174" t="e">
        <f aca="false">J106*$AO106</f>
        <v>#VALUE!</v>
      </c>
      <c r="AT106" s="174" t="e">
        <f aca="false">K106*$AO106</f>
        <v>#VALUE!</v>
      </c>
      <c r="AU106" s="174" t="e">
        <f aca="false">L106*$AO106</f>
        <v>#VALUE!</v>
      </c>
      <c r="AV106" s="174"/>
      <c r="AW106" s="174"/>
      <c r="AY106" s="220"/>
      <c r="AZ106" s="220"/>
      <c r="BA106" s="223"/>
      <c r="BC106" s="220"/>
      <c r="BE106" s="206"/>
    </row>
    <row r="107" customFormat="false" ht="12.75" hidden="false" customHeight="false" outlineLevel="0" collapsed="false">
      <c r="A107" s="167" t="e">
        <f aca="false">([1]!edate,A106,1)</f>
        <v>#VALUE!</v>
      </c>
      <c r="B107" s="201" t="e">
        <f aca="false">A108-A107</f>
        <v>#VALUE!</v>
      </c>
      <c r="C107" s="202" t="e">
        <f aca="false">IF(Control!$F$18="Physical",Model!A108+24,Model!A108)</f>
        <v>#VALUE!</v>
      </c>
      <c r="E107" s="203" t="e">
        <f aca="false">IF($A107&lt;End_Date,IF(Control!$C$20="Flat",Control!$C$21,VLOOKUP(Model!$A107,Euro!$B$29:$D$182,3)),0)</f>
        <v>#VALUE!</v>
      </c>
      <c r="F107" s="203" t="e">
        <f aca="false">E107*B107</f>
        <v>#VALUE!</v>
      </c>
      <c r="H107" s="204" t="e">
        <f aca="false">IF(Control!$C$27="Mid",VLOOKUP($A107,CurveFetch!$D$8:$F$367,3),VLOOKUP($A107,Euro!$B$29:$I$182,8))</f>
        <v>#VALUE!</v>
      </c>
      <c r="I107" s="204"/>
      <c r="J107" s="204" t="e">
        <f aca="false">IF($J$4="Mid",VLOOKUP($A107,Curve_Fetch,VLOOKUP(Control!$AJ$10,Control!$AI$11:$AK$22,3)),VLOOKUP($A107,Euro!$B$29:$M$182,12))</f>
        <v>#VALUE!</v>
      </c>
      <c r="K107" s="205" t="e">
        <f aca="false">IF(Control!$F$18="Physical",IF($K$4="Mid",VLOOKUP($A107,Curve_Fetch,VLOOKUP(Control!$AJ$10,Control!$AI$11:$AL$22,4)),VLOOKUP($A107,Euro!$B$29:$Q$182,16)),0)</f>
        <v>#VALUE!</v>
      </c>
      <c r="L107" s="204" t="e">
        <f aca="false">SUM(J107:K107)</f>
        <v>#VALUE!</v>
      </c>
      <c r="M107" s="204"/>
      <c r="N107" s="206" t="e">
        <f aca="false">L107+H107</f>
        <v>#VALUE!</v>
      </c>
      <c r="O107" s="206" t="e">
        <f aca="false">N107+Control!$C$39</f>
        <v>#VALUE!</v>
      </c>
      <c r="P107" s="207" t="e">
        <f aca="false">VLOOKUP($A107,CurveFetch!$D$8:$E$367,2)</f>
        <v>#VALUE!</v>
      </c>
      <c r="Q107" s="208" t="e">
        <f aca="false">P107</f>
        <v>#VALUE!</v>
      </c>
      <c r="R107" s="209" t="e">
        <f aca="true">A107-1-TODAY()</f>
        <v>#VALUE!</v>
      </c>
      <c r="S107" s="210" t="e">
        <f aca="false">VLOOKUP($A107,Curve_Fetch,VLOOKUP(Control!$AJ$10,Control!$AI$11:$AM$22,5))</f>
        <v>#VALUE!</v>
      </c>
      <c r="T107" s="211" t="e">
        <f aca="false">EURO(N107,O107,P107,Q107,S107,R107,IF(Control!$C$38="Call",1,0),0)</f>
        <v>#NAME?</v>
      </c>
      <c r="U107" s="174" t="e">
        <f aca="false">T107*B107*E107</f>
        <v>#VALUE!</v>
      </c>
      <c r="V107" s="212"/>
      <c r="W107" s="213"/>
      <c r="X107" s="213"/>
      <c r="Y107" s="213"/>
      <c r="AA107" s="214"/>
      <c r="AB107" s="214"/>
      <c r="AC107" s="215"/>
      <c r="AD107" s="216"/>
      <c r="AE107" s="217"/>
      <c r="AF107" s="218"/>
      <c r="AG107" s="219"/>
      <c r="AH107" s="220"/>
      <c r="AI107" s="174"/>
      <c r="AJ107" s="171" t="e">
        <f aca="false">Y107-L107</f>
        <v>#VALUE!</v>
      </c>
      <c r="AL107" s="208" t="e">
        <f aca="false">VLOOKUP($C107,Curve_Fetch,2)+Cost_of_Funds</f>
        <v>#VALUE!</v>
      </c>
      <c r="AM107" s="210" t="e">
        <f aca="false">1/(1+AL107/2)^(2*(C107-Val_Date)/365.25)</f>
        <v>#VALUE!</v>
      </c>
      <c r="AO107" s="222" t="e">
        <f aca="false">$B107*$E107*$AM107</f>
        <v>#VALUE!</v>
      </c>
      <c r="AP107" s="222"/>
      <c r="AQ107" s="222" t="e">
        <f aca="false">H107*AO107</f>
        <v>#VALUE!</v>
      </c>
      <c r="AR107" s="222"/>
      <c r="AS107" s="174" t="e">
        <f aca="false">J107*$AO107</f>
        <v>#VALUE!</v>
      </c>
      <c r="AT107" s="174" t="e">
        <f aca="false">K107*$AO107</f>
        <v>#VALUE!</v>
      </c>
      <c r="AU107" s="174" t="e">
        <f aca="false">L107*$AO107</f>
        <v>#VALUE!</v>
      </c>
      <c r="AV107" s="174"/>
      <c r="AW107" s="174"/>
      <c r="AY107" s="220"/>
      <c r="AZ107" s="220"/>
      <c r="BA107" s="223"/>
      <c r="BC107" s="220"/>
      <c r="BE107" s="206"/>
    </row>
    <row r="108" customFormat="false" ht="12.75" hidden="false" customHeight="false" outlineLevel="0" collapsed="false">
      <c r="A108" s="167" t="e">
        <f aca="false">([1]!edate,A107,1)</f>
        <v>#VALUE!</v>
      </c>
      <c r="B108" s="201" t="e">
        <f aca="false">A109-A108</f>
        <v>#VALUE!</v>
      </c>
      <c r="C108" s="202" t="e">
        <f aca="false">IF(Control!$F$18="Physical",Model!A109+24,Model!A109)</f>
        <v>#VALUE!</v>
      </c>
      <c r="E108" s="203" t="e">
        <f aca="false">IF($A108&lt;End_Date,IF(Control!$C$20="Flat",Control!$C$21,VLOOKUP(Model!$A108,Euro!$B$29:$D$182,3)),0)</f>
        <v>#VALUE!</v>
      </c>
      <c r="F108" s="203" t="e">
        <f aca="false">E108*B108</f>
        <v>#VALUE!</v>
      </c>
      <c r="H108" s="204" t="e">
        <f aca="false">IF(Control!$C$27="Mid",VLOOKUP($A108,CurveFetch!$D$8:$F$367,3),VLOOKUP($A108,Euro!$B$29:$I$182,8))</f>
        <v>#VALUE!</v>
      </c>
      <c r="I108" s="204"/>
      <c r="J108" s="204" t="e">
        <f aca="false">IF($J$4="Mid",VLOOKUP($A108,Curve_Fetch,VLOOKUP(Control!$AJ$10,Control!$AI$11:$AK$22,3)),VLOOKUP($A108,Euro!$B$29:$M$182,12))</f>
        <v>#VALUE!</v>
      </c>
      <c r="K108" s="205" t="e">
        <f aca="false">IF(Control!$F$18="Physical",IF($K$4="Mid",VLOOKUP($A108,Curve_Fetch,VLOOKUP(Control!$AJ$10,Control!$AI$11:$AL$22,4)),VLOOKUP($A108,Euro!$B$29:$Q$182,16)),0)</f>
        <v>#VALUE!</v>
      </c>
      <c r="L108" s="204" t="e">
        <f aca="false">SUM(J108:K108)</f>
        <v>#VALUE!</v>
      </c>
      <c r="M108" s="204"/>
      <c r="N108" s="206" t="e">
        <f aca="false">L108+H108</f>
        <v>#VALUE!</v>
      </c>
      <c r="O108" s="206" t="e">
        <f aca="false">N108+Control!$C$39</f>
        <v>#VALUE!</v>
      </c>
      <c r="P108" s="207" t="e">
        <f aca="false">VLOOKUP($A108,CurveFetch!$D$8:$E$367,2)</f>
        <v>#VALUE!</v>
      </c>
      <c r="Q108" s="208" t="e">
        <f aca="false">P108</f>
        <v>#VALUE!</v>
      </c>
      <c r="R108" s="209" t="e">
        <f aca="true">A108-1-TODAY()</f>
        <v>#VALUE!</v>
      </c>
      <c r="S108" s="210" t="e">
        <f aca="false">VLOOKUP($A108,Curve_Fetch,VLOOKUP(Control!$AJ$10,Control!$AI$11:$AM$22,5))</f>
        <v>#VALUE!</v>
      </c>
      <c r="T108" s="211" t="e">
        <f aca="false">EURO(N108,O108,P108,Q108,S108,R108,IF(Control!$C$38="Call",1,0),0)</f>
        <v>#NAME?</v>
      </c>
      <c r="U108" s="174" t="e">
        <f aca="false">T108*B108*E108</f>
        <v>#VALUE!</v>
      </c>
      <c r="V108" s="212"/>
      <c r="W108" s="213"/>
      <c r="X108" s="213"/>
      <c r="Y108" s="213"/>
      <c r="AA108" s="214"/>
      <c r="AB108" s="214"/>
      <c r="AC108" s="215"/>
      <c r="AD108" s="216"/>
      <c r="AE108" s="217"/>
      <c r="AF108" s="218"/>
      <c r="AG108" s="219"/>
      <c r="AH108" s="220"/>
      <c r="AI108" s="174"/>
      <c r="AJ108" s="171" t="e">
        <f aca="false">Y108-L108</f>
        <v>#VALUE!</v>
      </c>
      <c r="AL108" s="208" t="e">
        <f aca="false">VLOOKUP($C108,Curve_Fetch,2)+Cost_of_Funds</f>
        <v>#VALUE!</v>
      </c>
      <c r="AM108" s="210" t="e">
        <f aca="false">1/(1+AL108/2)^(2*(C108-Val_Date)/365.25)</f>
        <v>#VALUE!</v>
      </c>
      <c r="AO108" s="222" t="e">
        <f aca="false">$B108*$E108*$AM108</f>
        <v>#VALUE!</v>
      </c>
      <c r="AP108" s="222"/>
      <c r="AQ108" s="222" t="e">
        <f aca="false">H108*AO108</f>
        <v>#VALUE!</v>
      </c>
      <c r="AR108" s="222"/>
      <c r="AS108" s="174" t="e">
        <f aca="false">J108*$AO108</f>
        <v>#VALUE!</v>
      </c>
      <c r="AT108" s="174" t="e">
        <f aca="false">K108*$AO108</f>
        <v>#VALUE!</v>
      </c>
      <c r="AU108" s="174" t="e">
        <f aca="false">L108*$AO108</f>
        <v>#VALUE!</v>
      </c>
      <c r="AV108" s="174"/>
      <c r="AW108" s="174"/>
      <c r="AY108" s="220"/>
      <c r="AZ108" s="220"/>
      <c r="BA108" s="223"/>
      <c r="BC108" s="220"/>
      <c r="BE108" s="206"/>
    </row>
    <row r="109" customFormat="false" ht="12.75" hidden="false" customHeight="false" outlineLevel="0" collapsed="false">
      <c r="A109" s="167" t="e">
        <f aca="false">([1]!edate,A108,1)</f>
        <v>#VALUE!</v>
      </c>
      <c r="B109" s="201" t="e">
        <f aca="false">A110-A109</f>
        <v>#VALUE!</v>
      </c>
      <c r="C109" s="202" t="e">
        <f aca="false">IF(Control!$F$18="Physical",Model!A110+24,Model!A110)</f>
        <v>#VALUE!</v>
      </c>
      <c r="E109" s="203" t="e">
        <f aca="false">IF($A109&lt;End_Date,IF(Control!$C$20="Flat",Control!$C$21,VLOOKUP(Model!$A109,Euro!$B$29:$D$182,3)),0)</f>
        <v>#VALUE!</v>
      </c>
      <c r="F109" s="203" t="e">
        <f aca="false">E109*B109</f>
        <v>#VALUE!</v>
      </c>
      <c r="H109" s="204" t="e">
        <f aca="false">IF(Control!$C$27="Mid",VLOOKUP($A109,CurveFetch!$D$8:$F$367,3),VLOOKUP($A109,Euro!$B$29:$I$182,8))</f>
        <v>#VALUE!</v>
      </c>
      <c r="I109" s="204"/>
      <c r="J109" s="204" t="e">
        <f aca="false">IF($J$4="Mid",VLOOKUP($A109,Curve_Fetch,VLOOKUP(Control!$AJ$10,Control!$AI$11:$AK$22,3)),VLOOKUP($A109,Euro!$B$29:$M$182,12))</f>
        <v>#VALUE!</v>
      </c>
      <c r="K109" s="205" t="e">
        <f aca="false">IF(Control!$F$18="Physical",IF($K$4="Mid",VLOOKUP($A109,Curve_Fetch,VLOOKUP(Control!$AJ$10,Control!$AI$11:$AL$22,4)),VLOOKUP($A109,Euro!$B$29:$Q$182,16)),0)</f>
        <v>#VALUE!</v>
      </c>
      <c r="L109" s="204" t="e">
        <f aca="false">SUM(J109:K109)</f>
        <v>#VALUE!</v>
      </c>
      <c r="M109" s="204"/>
      <c r="N109" s="206" t="e">
        <f aca="false">L109+H109</f>
        <v>#VALUE!</v>
      </c>
      <c r="O109" s="206" t="e">
        <f aca="false">N109+Control!$C$39</f>
        <v>#VALUE!</v>
      </c>
      <c r="P109" s="207" t="e">
        <f aca="false">VLOOKUP($A109,CurveFetch!$D$8:$E$367,2)</f>
        <v>#VALUE!</v>
      </c>
      <c r="Q109" s="208" t="e">
        <f aca="false">P109</f>
        <v>#VALUE!</v>
      </c>
      <c r="R109" s="209" t="e">
        <f aca="true">A109-1-TODAY()</f>
        <v>#VALUE!</v>
      </c>
      <c r="S109" s="210" t="e">
        <f aca="false">VLOOKUP($A109,Curve_Fetch,VLOOKUP(Control!$AJ$10,Control!$AI$11:$AM$22,5))</f>
        <v>#VALUE!</v>
      </c>
      <c r="T109" s="211" t="e">
        <f aca="false">EURO(N109,O109,P109,Q109,S109,R109,IF(Control!$C$38="Call",1,0),0)</f>
        <v>#NAME?</v>
      </c>
      <c r="U109" s="174" t="e">
        <f aca="false">T109*B109*E109</f>
        <v>#VALUE!</v>
      </c>
      <c r="V109" s="212"/>
      <c r="W109" s="213"/>
      <c r="X109" s="213"/>
      <c r="Y109" s="213"/>
      <c r="AA109" s="214"/>
      <c r="AB109" s="214"/>
      <c r="AC109" s="215"/>
      <c r="AD109" s="216"/>
      <c r="AE109" s="217"/>
      <c r="AF109" s="218"/>
      <c r="AG109" s="219"/>
      <c r="AH109" s="220"/>
      <c r="AI109" s="174"/>
      <c r="AJ109" s="171" t="e">
        <f aca="false">Y109-L109</f>
        <v>#VALUE!</v>
      </c>
      <c r="AL109" s="208" t="e">
        <f aca="false">VLOOKUP($C109,Curve_Fetch,2)+Cost_of_Funds</f>
        <v>#VALUE!</v>
      </c>
      <c r="AM109" s="210" t="e">
        <f aca="false">1/(1+AL109/2)^(2*(C109-Val_Date)/365.25)</f>
        <v>#VALUE!</v>
      </c>
      <c r="AO109" s="222" t="e">
        <f aca="false">$B109*$E109*$AM109</f>
        <v>#VALUE!</v>
      </c>
      <c r="AP109" s="222"/>
      <c r="AQ109" s="222" t="e">
        <f aca="false">H109*AO109</f>
        <v>#VALUE!</v>
      </c>
      <c r="AR109" s="222"/>
      <c r="AS109" s="174" t="e">
        <f aca="false">J109*$AO109</f>
        <v>#VALUE!</v>
      </c>
      <c r="AT109" s="174" t="e">
        <f aca="false">K109*$AO109</f>
        <v>#VALUE!</v>
      </c>
      <c r="AU109" s="174" t="e">
        <f aca="false">L109*$AO109</f>
        <v>#VALUE!</v>
      </c>
      <c r="AV109" s="174"/>
      <c r="AW109" s="174"/>
      <c r="AY109" s="220"/>
      <c r="AZ109" s="220"/>
      <c r="BA109" s="223"/>
      <c r="BC109" s="220"/>
      <c r="BE109" s="206"/>
    </row>
    <row r="110" customFormat="false" ht="12.75" hidden="false" customHeight="false" outlineLevel="0" collapsed="false">
      <c r="A110" s="167" t="e">
        <f aca="false">([1]!edate,A109,1)</f>
        <v>#VALUE!</v>
      </c>
      <c r="B110" s="201" t="e">
        <f aca="false">A111-A110</f>
        <v>#VALUE!</v>
      </c>
      <c r="C110" s="202" t="e">
        <f aca="false">IF(Control!$F$18="Physical",Model!A111+24,Model!A111)</f>
        <v>#VALUE!</v>
      </c>
      <c r="E110" s="203" t="e">
        <f aca="false">IF($A110&lt;End_Date,IF(Control!$C$20="Flat",Control!$C$21,VLOOKUP(Model!$A110,Euro!$B$29:$D$182,3)),0)</f>
        <v>#VALUE!</v>
      </c>
      <c r="F110" s="203" t="e">
        <f aca="false">E110*B110</f>
        <v>#VALUE!</v>
      </c>
      <c r="H110" s="204" t="e">
        <f aca="false">IF(Control!$C$27="Mid",VLOOKUP($A110,CurveFetch!$D$8:$F$367,3),VLOOKUP($A110,Euro!$B$29:$I$182,8))</f>
        <v>#VALUE!</v>
      </c>
      <c r="I110" s="204"/>
      <c r="J110" s="204" t="e">
        <f aca="false">IF($J$4="Mid",VLOOKUP($A110,Curve_Fetch,VLOOKUP(Control!$AJ$10,Control!$AI$11:$AK$22,3)),VLOOKUP($A110,Euro!$B$29:$M$182,12))</f>
        <v>#VALUE!</v>
      </c>
      <c r="K110" s="205" t="e">
        <f aca="false">IF(Control!$F$18="Physical",IF($K$4="Mid",VLOOKUP($A110,Curve_Fetch,VLOOKUP(Control!$AJ$10,Control!$AI$11:$AL$22,4)),VLOOKUP($A110,Euro!$B$29:$Q$182,16)),0)</f>
        <v>#VALUE!</v>
      </c>
      <c r="L110" s="204" t="e">
        <f aca="false">SUM(J110:K110)</f>
        <v>#VALUE!</v>
      </c>
      <c r="M110" s="204"/>
      <c r="N110" s="206" t="e">
        <f aca="false">L110+H110</f>
        <v>#VALUE!</v>
      </c>
      <c r="O110" s="206" t="e">
        <f aca="false">N110+Control!$C$39</f>
        <v>#VALUE!</v>
      </c>
      <c r="P110" s="207" t="e">
        <f aca="false">VLOOKUP($A110,CurveFetch!$D$8:$E$367,2)</f>
        <v>#VALUE!</v>
      </c>
      <c r="Q110" s="208" t="e">
        <f aca="false">P110</f>
        <v>#VALUE!</v>
      </c>
      <c r="R110" s="209" t="e">
        <f aca="true">A110-1-TODAY()</f>
        <v>#VALUE!</v>
      </c>
      <c r="S110" s="210" t="e">
        <f aca="false">VLOOKUP($A110,Curve_Fetch,VLOOKUP(Control!$AJ$10,Control!$AI$11:$AM$22,5))</f>
        <v>#VALUE!</v>
      </c>
      <c r="T110" s="211" t="e">
        <f aca="false">EURO(N110,O110,P110,Q110,S110,R110,IF(Control!$C$38="Call",1,0),0)</f>
        <v>#NAME?</v>
      </c>
      <c r="U110" s="174" t="e">
        <f aca="false">T110*B110*E110</f>
        <v>#VALUE!</v>
      </c>
      <c r="V110" s="212"/>
      <c r="W110" s="213"/>
      <c r="X110" s="213"/>
      <c r="Y110" s="213"/>
      <c r="AA110" s="214"/>
      <c r="AB110" s="214"/>
      <c r="AC110" s="215"/>
      <c r="AD110" s="216"/>
      <c r="AE110" s="217"/>
      <c r="AF110" s="218"/>
      <c r="AG110" s="219"/>
      <c r="AH110" s="220"/>
      <c r="AI110" s="174"/>
      <c r="AJ110" s="171" t="e">
        <f aca="false">Y110-L110</f>
        <v>#VALUE!</v>
      </c>
      <c r="AL110" s="208" t="e">
        <f aca="false">VLOOKUP($C110,Curve_Fetch,2)+Cost_of_Funds</f>
        <v>#VALUE!</v>
      </c>
      <c r="AM110" s="210" t="e">
        <f aca="false">1/(1+AL110/2)^(2*(C110-Val_Date)/365.25)</f>
        <v>#VALUE!</v>
      </c>
      <c r="AO110" s="222" t="e">
        <f aca="false">$B110*$E110*$AM110</f>
        <v>#VALUE!</v>
      </c>
      <c r="AP110" s="222"/>
      <c r="AQ110" s="222" t="e">
        <f aca="false">H110*AO110</f>
        <v>#VALUE!</v>
      </c>
      <c r="AR110" s="222"/>
      <c r="AS110" s="174" t="e">
        <f aca="false">J110*$AO110</f>
        <v>#VALUE!</v>
      </c>
      <c r="AT110" s="174" t="e">
        <f aca="false">K110*$AO110</f>
        <v>#VALUE!</v>
      </c>
      <c r="AU110" s="174" t="e">
        <f aca="false">L110*$AO110</f>
        <v>#VALUE!</v>
      </c>
      <c r="AV110" s="174"/>
      <c r="AW110" s="174"/>
      <c r="AY110" s="220"/>
      <c r="AZ110" s="220"/>
      <c r="BA110" s="223"/>
      <c r="BC110" s="220"/>
      <c r="BE110" s="206"/>
    </row>
    <row r="111" customFormat="false" ht="12.75" hidden="false" customHeight="false" outlineLevel="0" collapsed="false">
      <c r="A111" s="167" t="e">
        <f aca="false">([1]!edate,A110,1)</f>
        <v>#VALUE!</v>
      </c>
      <c r="B111" s="201" t="e">
        <f aca="false">A112-A111</f>
        <v>#VALUE!</v>
      </c>
      <c r="C111" s="202" t="e">
        <f aca="false">IF(Control!$F$18="Physical",Model!A112+24,Model!A112)</f>
        <v>#VALUE!</v>
      </c>
      <c r="E111" s="203" t="e">
        <f aca="false">IF($A111&lt;End_Date,IF(Control!$C$20="Flat",Control!$C$21,VLOOKUP(Model!$A111,Euro!$B$29:$D$182,3)),0)</f>
        <v>#VALUE!</v>
      </c>
      <c r="F111" s="203" t="e">
        <f aca="false">E111*B111</f>
        <v>#VALUE!</v>
      </c>
      <c r="H111" s="204" t="e">
        <f aca="false">IF(Control!$C$27="Mid",VLOOKUP($A111,CurveFetch!$D$8:$F$367,3),VLOOKUP($A111,Euro!$B$29:$I$182,8))</f>
        <v>#VALUE!</v>
      </c>
      <c r="I111" s="204"/>
      <c r="J111" s="204" t="e">
        <f aca="false">IF($J$4="Mid",VLOOKUP($A111,Curve_Fetch,VLOOKUP(Control!$AJ$10,Control!$AI$11:$AK$22,3)),VLOOKUP($A111,Euro!$B$29:$M$182,12))</f>
        <v>#VALUE!</v>
      </c>
      <c r="K111" s="205" t="e">
        <f aca="false">IF(Control!$F$18="Physical",IF($K$4="Mid",VLOOKUP($A111,Curve_Fetch,VLOOKUP(Control!$AJ$10,Control!$AI$11:$AL$22,4)),VLOOKUP($A111,Euro!$B$29:$Q$182,16)),0)</f>
        <v>#VALUE!</v>
      </c>
      <c r="L111" s="204" t="e">
        <f aca="false">SUM(J111:K111)</f>
        <v>#VALUE!</v>
      </c>
      <c r="M111" s="204"/>
      <c r="N111" s="206" t="e">
        <f aca="false">L111+H111</f>
        <v>#VALUE!</v>
      </c>
      <c r="O111" s="206" t="e">
        <f aca="false">N111+Control!$C$39</f>
        <v>#VALUE!</v>
      </c>
      <c r="P111" s="207" t="e">
        <f aca="false">VLOOKUP($A111,CurveFetch!$D$8:$E$367,2)</f>
        <v>#VALUE!</v>
      </c>
      <c r="Q111" s="208" t="e">
        <f aca="false">P111</f>
        <v>#VALUE!</v>
      </c>
      <c r="R111" s="209" t="e">
        <f aca="true">A111-1-TODAY()</f>
        <v>#VALUE!</v>
      </c>
      <c r="S111" s="210" t="e">
        <f aca="false">VLOOKUP($A111,Curve_Fetch,VLOOKUP(Control!$AJ$10,Control!$AI$11:$AM$22,5))</f>
        <v>#VALUE!</v>
      </c>
      <c r="T111" s="211" t="e">
        <f aca="false">EURO(N111,O111,P111,Q111,S111,R111,IF(Control!$C$38="Call",1,0),0)</f>
        <v>#NAME?</v>
      </c>
      <c r="U111" s="174" t="e">
        <f aca="false">T111*B111*E111</f>
        <v>#VALUE!</v>
      </c>
      <c r="V111" s="212"/>
      <c r="W111" s="213"/>
      <c r="X111" s="213"/>
      <c r="Y111" s="213"/>
      <c r="AA111" s="214"/>
      <c r="AB111" s="214"/>
      <c r="AC111" s="215"/>
      <c r="AD111" s="216"/>
      <c r="AE111" s="217"/>
      <c r="AF111" s="218"/>
      <c r="AG111" s="219"/>
      <c r="AH111" s="220"/>
      <c r="AI111" s="174"/>
      <c r="AJ111" s="171" t="e">
        <f aca="false">Y111-L111</f>
        <v>#VALUE!</v>
      </c>
      <c r="AL111" s="208" t="e">
        <f aca="false">VLOOKUP($C111,Curve_Fetch,2)+Cost_of_Funds</f>
        <v>#VALUE!</v>
      </c>
      <c r="AM111" s="210" t="e">
        <f aca="false">1/(1+AL111/2)^(2*(C111-Val_Date)/365.25)</f>
        <v>#VALUE!</v>
      </c>
      <c r="AO111" s="222" t="e">
        <f aca="false">$B111*$E111*$AM111</f>
        <v>#VALUE!</v>
      </c>
      <c r="AP111" s="222"/>
      <c r="AQ111" s="222" t="e">
        <f aca="false">H111*AO111</f>
        <v>#VALUE!</v>
      </c>
      <c r="AR111" s="222"/>
      <c r="AS111" s="174" t="e">
        <f aca="false">J111*$AO111</f>
        <v>#VALUE!</v>
      </c>
      <c r="AT111" s="174" t="e">
        <f aca="false">K111*$AO111</f>
        <v>#VALUE!</v>
      </c>
      <c r="AU111" s="174" t="e">
        <f aca="false">L111*$AO111</f>
        <v>#VALUE!</v>
      </c>
      <c r="AV111" s="174"/>
      <c r="AW111" s="174"/>
      <c r="AY111" s="220"/>
      <c r="AZ111" s="220"/>
      <c r="BA111" s="223"/>
      <c r="BC111" s="220"/>
      <c r="BE111" s="206"/>
    </row>
    <row r="112" customFormat="false" ht="12.75" hidden="false" customHeight="false" outlineLevel="0" collapsed="false">
      <c r="A112" s="167" t="e">
        <f aca="false">([1]!edate,A111,1)</f>
        <v>#VALUE!</v>
      </c>
      <c r="B112" s="201" t="e">
        <f aca="false">A113-A112</f>
        <v>#VALUE!</v>
      </c>
      <c r="C112" s="202" t="e">
        <f aca="false">IF(Control!$F$18="Physical",Model!A113+24,Model!A113)</f>
        <v>#VALUE!</v>
      </c>
      <c r="E112" s="203" t="e">
        <f aca="false">IF($A112&lt;End_Date,IF(Control!$C$20="Flat",Control!$C$21,VLOOKUP(Model!$A112,Euro!$B$29:$D$182,3)),0)</f>
        <v>#VALUE!</v>
      </c>
      <c r="F112" s="203" t="e">
        <f aca="false">E112*B112</f>
        <v>#VALUE!</v>
      </c>
      <c r="H112" s="204" t="e">
        <f aca="false">IF(Control!$C$27="Mid",VLOOKUP($A112,CurveFetch!$D$8:$F$367,3),VLOOKUP($A112,Euro!$B$29:$I$182,8))</f>
        <v>#VALUE!</v>
      </c>
      <c r="I112" s="204"/>
      <c r="J112" s="204" t="e">
        <f aca="false">IF($J$4="Mid",VLOOKUP($A112,Curve_Fetch,VLOOKUP(Control!$AJ$10,Control!$AI$11:$AK$22,3)),VLOOKUP($A112,Euro!$B$29:$M$182,12))</f>
        <v>#VALUE!</v>
      </c>
      <c r="K112" s="205" t="e">
        <f aca="false">IF(Control!$F$18="Physical",IF($K$4="Mid",VLOOKUP($A112,Curve_Fetch,VLOOKUP(Control!$AJ$10,Control!$AI$11:$AL$22,4)),VLOOKUP($A112,Euro!$B$29:$Q$182,16)),0)</f>
        <v>#VALUE!</v>
      </c>
      <c r="L112" s="204" t="e">
        <f aca="false">SUM(J112:K112)</f>
        <v>#VALUE!</v>
      </c>
      <c r="M112" s="204"/>
      <c r="N112" s="206" t="e">
        <f aca="false">L112+H112</f>
        <v>#VALUE!</v>
      </c>
      <c r="O112" s="206" t="e">
        <f aca="false">N112+Control!$C$39</f>
        <v>#VALUE!</v>
      </c>
      <c r="P112" s="207" t="e">
        <f aca="false">VLOOKUP($A112,CurveFetch!$D$8:$E$367,2)</f>
        <v>#VALUE!</v>
      </c>
      <c r="Q112" s="208" t="e">
        <f aca="false">P112</f>
        <v>#VALUE!</v>
      </c>
      <c r="R112" s="209" t="e">
        <f aca="true">A112-1-TODAY()</f>
        <v>#VALUE!</v>
      </c>
      <c r="S112" s="210" t="e">
        <f aca="false">VLOOKUP($A112,Curve_Fetch,VLOOKUP(Control!$AJ$10,Control!$AI$11:$AM$22,5))</f>
        <v>#VALUE!</v>
      </c>
      <c r="T112" s="211" t="e">
        <f aca="false">EURO(N112,O112,P112,Q112,S112,R112,IF(Control!$C$38="Call",1,0),0)</f>
        <v>#NAME?</v>
      </c>
      <c r="U112" s="174" t="e">
        <f aca="false">T112*B112*E112</f>
        <v>#VALUE!</v>
      </c>
      <c r="V112" s="212"/>
      <c r="W112" s="213"/>
      <c r="X112" s="213"/>
      <c r="Y112" s="213"/>
      <c r="AA112" s="214"/>
      <c r="AB112" s="214"/>
      <c r="AC112" s="215"/>
      <c r="AD112" s="216"/>
      <c r="AE112" s="217"/>
      <c r="AF112" s="218"/>
      <c r="AG112" s="219"/>
      <c r="AH112" s="220"/>
      <c r="AI112" s="174"/>
      <c r="AJ112" s="171" t="e">
        <f aca="false">Y112-L112</f>
        <v>#VALUE!</v>
      </c>
      <c r="AL112" s="208" t="e">
        <f aca="false">VLOOKUP($C112,Curve_Fetch,2)+Cost_of_Funds</f>
        <v>#VALUE!</v>
      </c>
      <c r="AM112" s="210" t="e">
        <f aca="false">1/(1+AL112/2)^(2*(C112-Val_Date)/365.25)</f>
        <v>#VALUE!</v>
      </c>
      <c r="AO112" s="222" t="e">
        <f aca="false">$B112*$E112*$AM112</f>
        <v>#VALUE!</v>
      </c>
      <c r="AP112" s="222"/>
      <c r="AQ112" s="222" t="e">
        <f aca="false">H112*AO112</f>
        <v>#VALUE!</v>
      </c>
      <c r="AR112" s="222"/>
      <c r="AS112" s="174" t="e">
        <f aca="false">J112*$AO112</f>
        <v>#VALUE!</v>
      </c>
      <c r="AT112" s="174" t="e">
        <f aca="false">K112*$AO112</f>
        <v>#VALUE!</v>
      </c>
      <c r="AU112" s="174" t="e">
        <f aca="false">L112*$AO112</f>
        <v>#VALUE!</v>
      </c>
      <c r="AV112" s="174"/>
      <c r="AW112" s="174"/>
      <c r="AY112" s="220"/>
      <c r="AZ112" s="220"/>
      <c r="BA112" s="223"/>
      <c r="BC112" s="220"/>
      <c r="BE112" s="206"/>
    </row>
    <row r="113" customFormat="false" ht="12.75" hidden="false" customHeight="false" outlineLevel="0" collapsed="false">
      <c r="A113" s="167" t="e">
        <f aca="false">([1]!edate,A112,1)</f>
        <v>#VALUE!</v>
      </c>
      <c r="B113" s="201" t="e">
        <f aca="false">A114-A113</f>
        <v>#VALUE!</v>
      </c>
      <c r="C113" s="202" t="e">
        <f aca="false">IF(Control!$F$18="Physical",Model!A114+24,Model!A114)</f>
        <v>#VALUE!</v>
      </c>
      <c r="E113" s="203" t="e">
        <f aca="false">IF($A113&lt;End_Date,IF(Control!$C$20="Flat",Control!$C$21,VLOOKUP(Model!$A113,Euro!$B$29:$D$182,3)),0)</f>
        <v>#VALUE!</v>
      </c>
      <c r="F113" s="203" t="e">
        <f aca="false">E113*B113</f>
        <v>#VALUE!</v>
      </c>
      <c r="H113" s="204" t="e">
        <f aca="false">IF(Control!$C$27="Mid",VLOOKUP($A113,CurveFetch!$D$8:$F$367,3),VLOOKUP($A113,Euro!$B$29:$I$182,8))</f>
        <v>#VALUE!</v>
      </c>
      <c r="I113" s="204"/>
      <c r="J113" s="204" t="e">
        <f aca="false">IF($J$4="Mid",VLOOKUP($A113,Curve_Fetch,VLOOKUP(Control!$AJ$10,Control!$AI$11:$AK$22,3)),VLOOKUP($A113,Euro!$B$29:$M$182,12))</f>
        <v>#VALUE!</v>
      </c>
      <c r="K113" s="205" t="e">
        <f aca="false">IF(Control!$F$18="Physical",IF($K$4="Mid",VLOOKUP($A113,Curve_Fetch,VLOOKUP(Control!$AJ$10,Control!$AI$11:$AL$22,4)),VLOOKUP($A113,Euro!$B$29:$Q$182,16)),0)</f>
        <v>#VALUE!</v>
      </c>
      <c r="L113" s="204" t="e">
        <f aca="false">SUM(J113:K113)</f>
        <v>#VALUE!</v>
      </c>
      <c r="M113" s="204"/>
      <c r="N113" s="206" t="e">
        <f aca="false">L113+H113</f>
        <v>#VALUE!</v>
      </c>
      <c r="O113" s="206" t="e">
        <f aca="false">N113+Control!$C$39</f>
        <v>#VALUE!</v>
      </c>
      <c r="P113" s="207" t="e">
        <f aca="false">VLOOKUP($A113,CurveFetch!$D$8:$E$367,2)</f>
        <v>#VALUE!</v>
      </c>
      <c r="Q113" s="208" t="e">
        <f aca="false">P113</f>
        <v>#VALUE!</v>
      </c>
      <c r="R113" s="209" t="e">
        <f aca="true">A113-1-TODAY()</f>
        <v>#VALUE!</v>
      </c>
      <c r="S113" s="210" t="e">
        <f aca="false">VLOOKUP($A113,Curve_Fetch,VLOOKUP(Control!$AJ$10,Control!$AI$11:$AM$22,5))</f>
        <v>#VALUE!</v>
      </c>
      <c r="T113" s="211" t="e">
        <f aca="false">EURO(N113,O113,P113,Q113,S113,R113,IF(Control!$C$38="Call",1,0),0)</f>
        <v>#NAME?</v>
      </c>
      <c r="U113" s="174" t="e">
        <f aca="false">T113*B113*E113</f>
        <v>#VALUE!</v>
      </c>
      <c r="V113" s="212"/>
      <c r="W113" s="213"/>
      <c r="X113" s="213"/>
      <c r="Y113" s="213"/>
      <c r="AA113" s="214"/>
      <c r="AB113" s="214"/>
      <c r="AC113" s="215"/>
      <c r="AD113" s="216"/>
      <c r="AE113" s="217"/>
      <c r="AF113" s="218"/>
      <c r="AG113" s="219"/>
      <c r="AH113" s="220"/>
      <c r="AI113" s="174"/>
      <c r="AJ113" s="171" t="e">
        <f aca="false">Y113-L113</f>
        <v>#VALUE!</v>
      </c>
      <c r="AL113" s="208" t="e">
        <f aca="false">VLOOKUP($C113,Curve_Fetch,2)+Cost_of_Funds</f>
        <v>#VALUE!</v>
      </c>
      <c r="AM113" s="210" t="e">
        <f aca="false">1/(1+AL113/2)^(2*(C113-Val_Date)/365.25)</f>
        <v>#VALUE!</v>
      </c>
      <c r="AO113" s="222" t="e">
        <f aca="false">$B113*$E113*$AM113</f>
        <v>#VALUE!</v>
      </c>
      <c r="AP113" s="222"/>
      <c r="AQ113" s="222" t="e">
        <f aca="false">H113*AO113</f>
        <v>#VALUE!</v>
      </c>
      <c r="AR113" s="222"/>
      <c r="AS113" s="174" t="e">
        <f aca="false">J113*$AO113</f>
        <v>#VALUE!</v>
      </c>
      <c r="AT113" s="174" t="e">
        <f aca="false">K113*$AO113</f>
        <v>#VALUE!</v>
      </c>
      <c r="AU113" s="174" t="e">
        <f aca="false">L113*$AO113</f>
        <v>#VALUE!</v>
      </c>
      <c r="AV113" s="174"/>
      <c r="AW113" s="174"/>
      <c r="AY113" s="220"/>
      <c r="AZ113" s="220"/>
      <c r="BA113" s="223"/>
      <c r="BC113" s="220"/>
      <c r="BE113" s="206"/>
    </row>
    <row r="114" customFormat="false" ht="12.75" hidden="false" customHeight="false" outlineLevel="0" collapsed="false">
      <c r="A114" s="167" t="e">
        <f aca="false">([1]!edate,A113,1)</f>
        <v>#VALUE!</v>
      </c>
      <c r="B114" s="201" t="e">
        <f aca="false">A115-A114</f>
        <v>#VALUE!</v>
      </c>
      <c r="C114" s="202" t="e">
        <f aca="false">IF(Control!$F$18="Physical",Model!A115+24,Model!A115)</f>
        <v>#VALUE!</v>
      </c>
      <c r="E114" s="203" t="e">
        <f aca="false">IF($A114&lt;End_Date,IF(Control!$C$20="Flat",Control!$C$21,VLOOKUP(Model!$A114,Euro!$B$29:$D$182,3)),0)</f>
        <v>#VALUE!</v>
      </c>
      <c r="F114" s="203" t="e">
        <f aca="false">E114*B114</f>
        <v>#VALUE!</v>
      </c>
      <c r="H114" s="204" t="e">
        <f aca="false">IF(Control!$C$27="Mid",VLOOKUP($A114,CurveFetch!$D$8:$F$367,3),VLOOKUP($A114,Euro!$B$29:$I$182,8))</f>
        <v>#VALUE!</v>
      </c>
      <c r="I114" s="204"/>
      <c r="J114" s="204" t="e">
        <f aca="false">IF($J$4="Mid",VLOOKUP($A114,Curve_Fetch,VLOOKUP(Control!$AJ$10,Control!$AI$11:$AK$22,3)),VLOOKUP($A114,Euro!$B$29:$M$182,12))</f>
        <v>#VALUE!</v>
      </c>
      <c r="K114" s="205" t="e">
        <f aca="false">IF(Control!$F$18="Physical",IF($K$4="Mid",VLOOKUP($A114,Curve_Fetch,VLOOKUP(Control!$AJ$10,Control!$AI$11:$AL$22,4)),VLOOKUP($A114,Euro!$B$29:$Q$182,16)),0)</f>
        <v>#VALUE!</v>
      </c>
      <c r="L114" s="204" t="e">
        <f aca="false">SUM(J114:K114)</f>
        <v>#VALUE!</v>
      </c>
      <c r="M114" s="204"/>
      <c r="N114" s="206" t="e">
        <f aca="false">L114+H114</f>
        <v>#VALUE!</v>
      </c>
      <c r="O114" s="206" t="e">
        <f aca="false">N114+Control!$C$39</f>
        <v>#VALUE!</v>
      </c>
      <c r="P114" s="207" t="e">
        <f aca="false">VLOOKUP($A114,CurveFetch!$D$8:$E$367,2)</f>
        <v>#VALUE!</v>
      </c>
      <c r="Q114" s="208" t="e">
        <f aca="false">P114</f>
        <v>#VALUE!</v>
      </c>
      <c r="R114" s="209" t="e">
        <f aca="true">A114-1-TODAY()</f>
        <v>#VALUE!</v>
      </c>
      <c r="S114" s="210" t="e">
        <f aca="false">VLOOKUP($A114,Curve_Fetch,VLOOKUP(Control!$AJ$10,Control!$AI$11:$AM$22,5))</f>
        <v>#VALUE!</v>
      </c>
      <c r="T114" s="211" t="e">
        <f aca="false">EURO(N114,O114,P114,Q114,S114,R114,IF(Control!$C$38="Call",1,0),0)</f>
        <v>#NAME?</v>
      </c>
      <c r="U114" s="174" t="e">
        <f aca="false">T114*B114*E114</f>
        <v>#VALUE!</v>
      </c>
      <c r="V114" s="212"/>
      <c r="W114" s="213"/>
      <c r="X114" s="213"/>
      <c r="Y114" s="213"/>
      <c r="AA114" s="214"/>
      <c r="AB114" s="214"/>
      <c r="AC114" s="215"/>
      <c r="AD114" s="216"/>
      <c r="AE114" s="217"/>
      <c r="AF114" s="218"/>
      <c r="AG114" s="219"/>
      <c r="AH114" s="220"/>
      <c r="AI114" s="174"/>
      <c r="AJ114" s="171" t="e">
        <f aca="false">Y114-L114</f>
        <v>#VALUE!</v>
      </c>
      <c r="AL114" s="208" t="e">
        <f aca="false">VLOOKUP($C114,Curve_Fetch,2)+Cost_of_Funds</f>
        <v>#VALUE!</v>
      </c>
      <c r="AM114" s="210" t="e">
        <f aca="false">1/(1+AL114/2)^(2*(C114-Val_Date)/365.25)</f>
        <v>#VALUE!</v>
      </c>
      <c r="AO114" s="222" t="e">
        <f aca="false">$B114*$E114*$AM114</f>
        <v>#VALUE!</v>
      </c>
      <c r="AP114" s="222"/>
      <c r="AQ114" s="222" t="e">
        <f aca="false">H114*AO114</f>
        <v>#VALUE!</v>
      </c>
      <c r="AR114" s="222"/>
      <c r="AS114" s="174" t="e">
        <f aca="false">J114*$AO114</f>
        <v>#VALUE!</v>
      </c>
      <c r="AT114" s="174" t="e">
        <f aca="false">K114*$AO114</f>
        <v>#VALUE!</v>
      </c>
      <c r="AU114" s="174" t="e">
        <f aca="false">L114*$AO114</f>
        <v>#VALUE!</v>
      </c>
      <c r="AV114" s="174"/>
      <c r="AW114" s="174"/>
      <c r="AY114" s="220"/>
      <c r="AZ114" s="220"/>
      <c r="BA114" s="223"/>
      <c r="BC114" s="220"/>
      <c r="BE114" s="206"/>
    </row>
    <row r="115" customFormat="false" ht="12.75" hidden="false" customHeight="false" outlineLevel="0" collapsed="false">
      <c r="A115" s="167" t="e">
        <f aca="false">([1]!edate,A114,1)</f>
        <v>#VALUE!</v>
      </c>
      <c r="B115" s="201" t="e">
        <f aca="false">A116-A115</f>
        <v>#VALUE!</v>
      </c>
      <c r="C115" s="202" t="e">
        <f aca="false">IF(Control!$F$18="Physical",Model!A116+24,Model!A116)</f>
        <v>#VALUE!</v>
      </c>
      <c r="E115" s="203" t="e">
        <f aca="false">IF($A115&lt;End_Date,IF(Control!$C$20="Flat",Control!$C$21,VLOOKUP(Model!$A115,Euro!$B$29:$D$182,3)),0)</f>
        <v>#VALUE!</v>
      </c>
      <c r="F115" s="203" t="e">
        <f aca="false">E115*B115</f>
        <v>#VALUE!</v>
      </c>
      <c r="H115" s="204" t="e">
        <f aca="false">IF(Control!$C$27="Mid",VLOOKUP($A115,CurveFetch!$D$8:$F$367,3),VLOOKUP($A115,Euro!$B$29:$I$182,8))</f>
        <v>#VALUE!</v>
      </c>
      <c r="I115" s="204"/>
      <c r="J115" s="204" t="e">
        <f aca="false">IF($J$4="Mid",VLOOKUP($A115,Curve_Fetch,VLOOKUP(Control!$AJ$10,Control!$AI$11:$AK$22,3)),VLOOKUP($A115,Euro!$B$29:$M$182,12))</f>
        <v>#VALUE!</v>
      </c>
      <c r="K115" s="205" t="e">
        <f aca="false">IF(Control!$F$18="Physical",IF($K$4="Mid",VLOOKUP($A115,Curve_Fetch,VLOOKUP(Control!$AJ$10,Control!$AI$11:$AL$22,4)),VLOOKUP($A115,Euro!$B$29:$Q$182,16)),0)</f>
        <v>#VALUE!</v>
      </c>
      <c r="L115" s="204" t="e">
        <f aca="false">SUM(J115:K115)</f>
        <v>#VALUE!</v>
      </c>
      <c r="M115" s="204"/>
      <c r="N115" s="206" t="e">
        <f aca="false">L115+H115</f>
        <v>#VALUE!</v>
      </c>
      <c r="O115" s="206" t="e">
        <f aca="false">N115+Control!$C$39</f>
        <v>#VALUE!</v>
      </c>
      <c r="P115" s="207" t="e">
        <f aca="false">VLOOKUP($A115,CurveFetch!$D$8:$E$367,2)</f>
        <v>#VALUE!</v>
      </c>
      <c r="Q115" s="208" t="e">
        <f aca="false">P115</f>
        <v>#VALUE!</v>
      </c>
      <c r="R115" s="209" t="e">
        <f aca="true">A115-1-TODAY()</f>
        <v>#VALUE!</v>
      </c>
      <c r="S115" s="210" t="e">
        <f aca="false">VLOOKUP($A115,Curve_Fetch,VLOOKUP(Control!$AJ$10,Control!$AI$11:$AM$22,5))</f>
        <v>#VALUE!</v>
      </c>
      <c r="T115" s="211" t="e">
        <f aca="false">EURO(N115,O115,P115,Q115,S115,R115,IF(Control!$C$38="Call",1,0),0)</f>
        <v>#NAME?</v>
      </c>
      <c r="U115" s="174" t="e">
        <f aca="false">T115*B115*E115</f>
        <v>#VALUE!</v>
      </c>
      <c r="V115" s="212"/>
      <c r="W115" s="213"/>
      <c r="X115" s="213"/>
      <c r="Y115" s="213"/>
      <c r="AA115" s="214"/>
      <c r="AB115" s="214"/>
      <c r="AC115" s="215"/>
      <c r="AD115" s="216"/>
      <c r="AE115" s="217"/>
      <c r="AF115" s="218"/>
      <c r="AG115" s="219"/>
      <c r="AH115" s="220"/>
      <c r="AI115" s="174"/>
      <c r="AJ115" s="171" t="e">
        <f aca="false">Y115-L115</f>
        <v>#VALUE!</v>
      </c>
      <c r="AL115" s="208" t="e">
        <f aca="false">VLOOKUP($C115,Curve_Fetch,2)+Cost_of_Funds</f>
        <v>#VALUE!</v>
      </c>
      <c r="AM115" s="210" t="e">
        <f aca="false">1/(1+AL115/2)^(2*(C115-Val_Date)/365.25)</f>
        <v>#VALUE!</v>
      </c>
      <c r="AO115" s="222" t="e">
        <f aca="false">$B115*$E115*$AM115</f>
        <v>#VALUE!</v>
      </c>
      <c r="AP115" s="222"/>
      <c r="AQ115" s="222" t="e">
        <f aca="false">H115*AO115</f>
        <v>#VALUE!</v>
      </c>
      <c r="AR115" s="222"/>
      <c r="AS115" s="174" t="e">
        <f aca="false">J115*$AO115</f>
        <v>#VALUE!</v>
      </c>
      <c r="AT115" s="174" t="e">
        <f aca="false">K115*$AO115</f>
        <v>#VALUE!</v>
      </c>
      <c r="AU115" s="174" t="e">
        <f aca="false">L115*$AO115</f>
        <v>#VALUE!</v>
      </c>
      <c r="AV115" s="174"/>
      <c r="AW115" s="174"/>
      <c r="AY115" s="220"/>
      <c r="AZ115" s="220"/>
      <c r="BA115" s="223"/>
      <c r="BC115" s="220"/>
      <c r="BE115" s="206"/>
    </row>
    <row r="116" customFormat="false" ht="12.75" hidden="false" customHeight="false" outlineLevel="0" collapsed="false">
      <c r="A116" s="167" t="e">
        <f aca="false">([1]!edate,A115,1)</f>
        <v>#VALUE!</v>
      </c>
      <c r="B116" s="201" t="e">
        <f aca="false">A117-A116</f>
        <v>#VALUE!</v>
      </c>
      <c r="C116" s="202" t="e">
        <f aca="false">IF(Control!$F$18="Physical",Model!A117+24,Model!A117)</f>
        <v>#VALUE!</v>
      </c>
      <c r="E116" s="203" t="e">
        <f aca="false">IF($A116&lt;End_Date,IF(Control!$C$20="Flat",Control!$C$21,VLOOKUP(Model!$A116,Euro!$B$29:$D$182,3)),0)</f>
        <v>#VALUE!</v>
      </c>
      <c r="F116" s="203" t="e">
        <f aca="false">E116*B116</f>
        <v>#VALUE!</v>
      </c>
      <c r="H116" s="204" t="e">
        <f aca="false">IF(Control!$C$27="Mid",VLOOKUP($A116,CurveFetch!$D$8:$F$367,3),VLOOKUP($A116,Euro!$B$29:$I$182,8))</f>
        <v>#VALUE!</v>
      </c>
      <c r="I116" s="204"/>
      <c r="J116" s="204" t="e">
        <f aca="false">IF($J$4="Mid",VLOOKUP($A116,Curve_Fetch,VLOOKUP(Control!$AJ$10,Control!$AI$11:$AK$22,3)),VLOOKUP($A116,Euro!$B$29:$M$182,12))</f>
        <v>#VALUE!</v>
      </c>
      <c r="K116" s="205" t="e">
        <f aca="false">IF(Control!$F$18="Physical",IF($K$4="Mid",VLOOKUP($A116,Curve_Fetch,VLOOKUP(Control!$AJ$10,Control!$AI$11:$AL$22,4)),VLOOKUP($A116,Euro!$B$29:$Q$182,16)),0)</f>
        <v>#VALUE!</v>
      </c>
      <c r="L116" s="204" t="e">
        <f aca="false">SUM(J116:K116)</f>
        <v>#VALUE!</v>
      </c>
      <c r="M116" s="204"/>
      <c r="N116" s="206" t="e">
        <f aca="false">L116+H116</f>
        <v>#VALUE!</v>
      </c>
      <c r="O116" s="206" t="e">
        <f aca="false">N116+Control!$C$39</f>
        <v>#VALUE!</v>
      </c>
      <c r="P116" s="207" t="e">
        <f aca="false">VLOOKUP($A116,CurveFetch!$D$8:$E$367,2)</f>
        <v>#VALUE!</v>
      </c>
      <c r="Q116" s="208" t="e">
        <f aca="false">P116</f>
        <v>#VALUE!</v>
      </c>
      <c r="R116" s="209" t="e">
        <f aca="true">A116-1-TODAY()</f>
        <v>#VALUE!</v>
      </c>
      <c r="S116" s="210" t="e">
        <f aca="false">VLOOKUP($A116,Curve_Fetch,VLOOKUP(Control!$AJ$10,Control!$AI$11:$AM$22,5))</f>
        <v>#VALUE!</v>
      </c>
      <c r="T116" s="211" t="e">
        <f aca="false">EURO(N116,O116,P116,Q116,S116,R116,IF(Control!$C$38="Call",1,0),0)</f>
        <v>#NAME?</v>
      </c>
      <c r="U116" s="174" t="e">
        <f aca="false">T116*B116*E116</f>
        <v>#VALUE!</v>
      </c>
      <c r="V116" s="212"/>
      <c r="W116" s="213"/>
      <c r="X116" s="213"/>
      <c r="Y116" s="213"/>
      <c r="AA116" s="214"/>
      <c r="AB116" s="214"/>
      <c r="AC116" s="215"/>
      <c r="AD116" s="216"/>
      <c r="AE116" s="217"/>
      <c r="AF116" s="218"/>
      <c r="AG116" s="219"/>
      <c r="AH116" s="220"/>
      <c r="AI116" s="174"/>
      <c r="AJ116" s="171" t="e">
        <f aca="false">Y116-L116</f>
        <v>#VALUE!</v>
      </c>
      <c r="AL116" s="208" t="e">
        <f aca="false">VLOOKUP($C116,Curve_Fetch,2)+Cost_of_Funds</f>
        <v>#VALUE!</v>
      </c>
      <c r="AM116" s="210" t="e">
        <f aca="false">1/(1+AL116/2)^(2*(C116-Val_Date)/365.25)</f>
        <v>#VALUE!</v>
      </c>
      <c r="AO116" s="222" t="e">
        <f aca="false">$B116*$E116*$AM116</f>
        <v>#VALUE!</v>
      </c>
      <c r="AP116" s="222"/>
      <c r="AQ116" s="222" t="e">
        <f aca="false">H116*AO116</f>
        <v>#VALUE!</v>
      </c>
      <c r="AR116" s="222"/>
      <c r="AS116" s="174" t="e">
        <f aca="false">J116*$AO116</f>
        <v>#VALUE!</v>
      </c>
      <c r="AT116" s="174" t="e">
        <f aca="false">K116*$AO116</f>
        <v>#VALUE!</v>
      </c>
      <c r="AU116" s="174" t="e">
        <f aca="false">L116*$AO116</f>
        <v>#VALUE!</v>
      </c>
      <c r="AV116" s="174"/>
      <c r="AW116" s="174"/>
      <c r="AY116" s="220"/>
      <c r="AZ116" s="220"/>
      <c r="BA116" s="223"/>
      <c r="BC116" s="220"/>
      <c r="BE116" s="206"/>
    </row>
    <row r="117" customFormat="false" ht="12.75" hidden="false" customHeight="false" outlineLevel="0" collapsed="false">
      <c r="A117" s="167" t="e">
        <f aca="false">([1]!edate,A116,1)</f>
        <v>#VALUE!</v>
      </c>
      <c r="B117" s="201" t="e">
        <f aca="false">A118-A117</f>
        <v>#VALUE!</v>
      </c>
      <c r="C117" s="202" t="e">
        <f aca="false">IF(Control!$F$18="Physical",Model!A118+24,Model!A118)</f>
        <v>#VALUE!</v>
      </c>
      <c r="E117" s="203" t="e">
        <f aca="false">IF($A117&lt;End_Date,IF(Control!$C$20="Flat",Control!$C$21,VLOOKUP(Model!$A117,Euro!$B$29:$D$182,3)),0)</f>
        <v>#VALUE!</v>
      </c>
      <c r="F117" s="203" t="e">
        <f aca="false">E117*B117</f>
        <v>#VALUE!</v>
      </c>
      <c r="H117" s="204" t="e">
        <f aca="false">IF(Control!$C$27="Mid",VLOOKUP($A117,CurveFetch!$D$8:$F$367,3),VLOOKUP($A117,Euro!$B$29:$I$182,8))</f>
        <v>#VALUE!</v>
      </c>
      <c r="I117" s="204"/>
      <c r="J117" s="204" t="e">
        <f aca="false">IF($J$4="Mid",VLOOKUP($A117,Curve_Fetch,VLOOKUP(Control!$AJ$10,Control!$AI$11:$AK$22,3)),VLOOKUP($A117,Euro!$B$29:$M$182,12))</f>
        <v>#VALUE!</v>
      </c>
      <c r="K117" s="205" t="e">
        <f aca="false">IF(Control!$F$18="Physical",IF($K$4="Mid",VLOOKUP($A117,Curve_Fetch,VLOOKUP(Control!$AJ$10,Control!$AI$11:$AL$22,4)),VLOOKUP($A117,Euro!$B$29:$Q$182,16)),0)</f>
        <v>#VALUE!</v>
      </c>
      <c r="L117" s="204" t="e">
        <f aca="false">SUM(J117:K117)</f>
        <v>#VALUE!</v>
      </c>
      <c r="M117" s="204"/>
      <c r="N117" s="206" t="e">
        <f aca="false">L117+H117</f>
        <v>#VALUE!</v>
      </c>
      <c r="O117" s="206" t="e">
        <f aca="false">N117+Control!$C$39</f>
        <v>#VALUE!</v>
      </c>
      <c r="P117" s="207" t="e">
        <f aca="false">VLOOKUP($A117,CurveFetch!$D$8:$E$367,2)</f>
        <v>#VALUE!</v>
      </c>
      <c r="Q117" s="208" t="e">
        <f aca="false">P117</f>
        <v>#VALUE!</v>
      </c>
      <c r="R117" s="209" t="e">
        <f aca="true">A117-1-TODAY()</f>
        <v>#VALUE!</v>
      </c>
      <c r="S117" s="210" t="e">
        <f aca="false">VLOOKUP($A117,Curve_Fetch,VLOOKUP(Control!$AJ$10,Control!$AI$11:$AM$22,5))</f>
        <v>#VALUE!</v>
      </c>
      <c r="T117" s="211" t="e">
        <f aca="false">EURO(N117,O117,P117,Q117,S117,R117,IF(Control!$C$38="Call",1,0),0)</f>
        <v>#NAME?</v>
      </c>
      <c r="U117" s="174" t="e">
        <f aca="false">T117*B117*E117</f>
        <v>#VALUE!</v>
      </c>
      <c r="V117" s="212"/>
      <c r="W117" s="213"/>
      <c r="X117" s="213"/>
      <c r="Y117" s="213"/>
      <c r="AA117" s="214"/>
      <c r="AB117" s="214"/>
      <c r="AC117" s="215"/>
      <c r="AD117" s="216"/>
      <c r="AE117" s="217"/>
      <c r="AF117" s="218"/>
      <c r="AG117" s="219"/>
      <c r="AH117" s="220"/>
      <c r="AI117" s="174"/>
      <c r="AJ117" s="171" t="e">
        <f aca="false">Y117-L117</f>
        <v>#VALUE!</v>
      </c>
      <c r="AL117" s="208" t="e">
        <f aca="false">VLOOKUP($C117,Curve_Fetch,2)+Cost_of_Funds</f>
        <v>#VALUE!</v>
      </c>
      <c r="AM117" s="210" t="e">
        <f aca="false">1/(1+AL117/2)^(2*(C117-Val_Date)/365.25)</f>
        <v>#VALUE!</v>
      </c>
      <c r="AO117" s="222" t="e">
        <f aca="false">$B117*$E117*$AM117</f>
        <v>#VALUE!</v>
      </c>
      <c r="AP117" s="222"/>
      <c r="AQ117" s="222" t="e">
        <f aca="false">H117*AO117</f>
        <v>#VALUE!</v>
      </c>
      <c r="AR117" s="222"/>
      <c r="AS117" s="174" t="e">
        <f aca="false">J117*$AO117</f>
        <v>#VALUE!</v>
      </c>
      <c r="AT117" s="174" t="e">
        <f aca="false">K117*$AO117</f>
        <v>#VALUE!</v>
      </c>
      <c r="AU117" s="174" t="e">
        <f aca="false">L117*$AO117</f>
        <v>#VALUE!</v>
      </c>
      <c r="AV117" s="174"/>
      <c r="AW117" s="174"/>
      <c r="AY117" s="220"/>
      <c r="AZ117" s="220"/>
      <c r="BA117" s="223"/>
      <c r="BC117" s="220"/>
      <c r="BE117" s="206"/>
    </row>
    <row r="118" customFormat="false" ht="12.75" hidden="false" customHeight="false" outlineLevel="0" collapsed="false">
      <c r="A118" s="167" t="e">
        <f aca="false">([1]!edate,A117,1)</f>
        <v>#VALUE!</v>
      </c>
      <c r="B118" s="201" t="e">
        <f aca="false">A119-A118</f>
        <v>#VALUE!</v>
      </c>
      <c r="C118" s="202" t="e">
        <f aca="false">IF(Control!$F$18="Physical",Model!A119+24,Model!A119)</f>
        <v>#VALUE!</v>
      </c>
      <c r="E118" s="203" t="e">
        <f aca="false">IF($A118&lt;End_Date,IF(Control!$C$20="Flat",Control!$C$21,VLOOKUP(Model!$A118,Euro!$B$29:$D$182,3)),0)</f>
        <v>#VALUE!</v>
      </c>
      <c r="F118" s="203" t="e">
        <f aca="false">E118*B118</f>
        <v>#VALUE!</v>
      </c>
      <c r="H118" s="204" t="e">
        <f aca="false">IF(Control!$C$27="Mid",VLOOKUP($A118,CurveFetch!$D$8:$F$367,3),VLOOKUP($A118,Euro!$B$29:$I$182,8))</f>
        <v>#VALUE!</v>
      </c>
      <c r="I118" s="204"/>
      <c r="J118" s="204" t="e">
        <f aca="false">IF($J$4="Mid",VLOOKUP($A118,Curve_Fetch,VLOOKUP(Control!$AJ$10,Control!$AI$11:$AK$22,3)),VLOOKUP($A118,Euro!$B$29:$M$182,12))</f>
        <v>#VALUE!</v>
      </c>
      <c r="K118" s="205" t="e">
        <f aca="false">IF(Control!$F$18="Physical",IF($K$4="Mid",VLOOKUP($A118,Curve_Fetch,VLOOKUP(Control!$AJ$10,Control!$AI$11:$AL$22,4)),VLOOKUP($A118,Euro!$B$29:$Q$182,16)),0)</f>
        <v>#VALUE!</v>
      </c>
      <c r="L118" s="204" t="e">
        <f aca="false">SUM(J118:K118)</f>
        <v>#VALUE!</v>
      </c>
      <c r="M118" s="204"/>
      <c r="N118" s="206" t="e">
        <f aca="false">L118+H118</f>
        <v>#VALUE!</v>
      </c>
      <c r="O118" s="206" t="e">
        <f aca="false">N118+Control!$C$39</f>
        <v>#VALUE!</v>
      </c>
      <c r="P118" s="207" t="e">
        <f aca="false">VLOOKUP($A118,CurveFetch!$D$8:$E$367,2)</f>
        <v>#VALUE!</v>
      </c>
      <c r="Q118" s="208" t="e">
        <f aca="false">P118</f>
        <v>#VALUE!</v>
      </c>
      <c r="R118" s="209" t="e">
        <f aca="true">A118-1-TODAY()</f>
        <v>#VALUE!</v>
      </c>
      <c r="S118" s="210" t="e">
        <f aca="false">VLOOKUP($A118,Curve_Fetch,VLOOKUP(Control!$AJ$10,Control!$AI$11:$AM$22,5))</f>
        <v>#VALUE!</v>
      </c>
      <c r="T118" s="211" t="e">
        <f aca="false">EURO(N118,O118,P118,Q118,S118,R118,IF(Control!$C$38="Call",1,0),0)</f>
        <v>#NAME?</v>
      </c>
      <c r="U118" s="174" t="e">
        <f aca="false">T118*B118*E118</f>
        <v>#VALUE!</v>
      </c>
      <c r="V118" s="212"/>
      <c r="W118" s="213"/>
      <c r="X118" s="213"/>
      <c r="Y118" s="213"/>
      <c r="AA118" s="214"/>
      <c r="AB118" s="214"/>
      <c r="AC118" s="215"/>
      <c r="AD118" s="216"/>
      <c r="AE118" s="217"/>
      <c r="AF118" s="218"/>
      <c r="AG118" s="219"/>
      <c r="AH118" s="220"/>
      <c r="AI118" s="174"/>
      <c r="AJ118" s="171" t="e">
        <f aca="false">Y118-L118</f>
        <v>#VALUE!</v>
      </c>
      <c r="AL118" s="208" t="e">
        <f aca="false">VLOOKUP($C118,Curve_Fetch,2)+Cost_of_Funds</f>
        <v>#VALUE!</v>
      </c>
      <c r="AM118" s="210" t="e">
        <f aca="false">1/(1+AL118/2)^(2*(C118-Val_Date)/365.25)</f>
        <v>#VALUE!</v>
      </c>
      <c r="AO118" s="222" t="e">
        <f aca="false">$B118*$E118*$AM118</f>
        <v>#VALUE!</v>
      </c>
      <c r="AP118" s="222"/>
      <c r="AQ118" s="222" t="e">
        <f aca="false">H118*AO118</f>
        <v>#VALUE!</v>
      </c>
      <c r="AR118" s="222"/>
      <c r="AS118" s="174" t="e">
        <f aca="false">J118*$AO118</f>
        <v>#VALUE!</v>
      </c>
      <c r="AT118" s="174" t="e">
        <f aca="false">K118*$AO118</f>
        <v>#VALUE!</v>
      </c>
      <c r="AU118" s="174" t="e">
        <f aca="false">L118*$AO118</f>
        <v>#VALUE!</v>
      </c>
      <c r="AV118" s="174"/>
      <c r="AW118" s="174"/>
      <c r="AY118" s="220"/>
      <c r="AZ118" s="220"/>
      <c r="BA118" s="223"/>
      <c r="BC118" s="220"/>
      <c r="BE118" s="206"/>
    </row>
    <row r="119" customFormat="false" ht="12.75" hidden="false" customHeight="false" outlineLevel="0" collapsed="false">
      <c r="A119" s="167" t="e">
        <f aca="false">([1]!edate,A118,1)</f>
        <v>#VALUE!</v>
      </c>
      <c r="B119" s="201" t="e">
        <f aca="false">A120-A119</f>
        <v>#VALUE!</v>
      </c>
      <c r="C119" s="202" t="e">
        <f aca="false">IF(Control!$F$18="Physical",Model!A120+24,Model!A120)</f>
        <v>#VALUE!</v>
      </c>
      <c r="E119" s="203" t="e">
        <f aca="false">IF($A119&lt;End_Date,IF(Control!$C$20="Flat",Control!$C$21,VLOOKUP(Model!$A119,Euro!$B$29:$D$182,3)),0)</f>
        <v>#VALUE!</v>
      </c>
      <c r="F119" s="203" t="e">
        <f aca="false">E119*B119</f>
        <v>#VALUE!</v>
      </c>
      <c r="H119" s="204" t="e">
        <f aca="false">IF(Control!$C$27="Mid",VLOOKUP($A119,CurveFetch!$D$8:$F$367,3),VLOOKUP($A119,Euro!$B$29:$I$182,8))</f>
        <v>#VALUE!</v>
      </c>
      <c r="I119" s="204"/>
      <c r="J119" s="204" t="e">
        <f aca="false">IF($J$4="Mid",VLOOKUP($A119,Curve_Fetch,VLOOKUP(Control!$AJ$10,Control!$AI$11:$AK$22,3)),VLOOKUP($A119,Euro!$B$29:$M$182,12))</f>
        <v>#VALUE!</v>
      </c>
      <c r="K119" s="205" t="e">
        <f aca="false">IF(Control!$F$18="Physical",IF($K$4="Mid",VLOOKUP($A119,Curve_Fetch,VLOOKUP(Control!$AJ$10,Control!$AI$11:$AL$22,4)),VLOOKUP($A119,Euro!$B$29:$Q$182,16)),0)</f>
        <v>#VALUE!</v>
      </c>
      <c r="L119" s="204" t="e">
        <f aca="false">SUM(J119:K119)</f>
        <v>#VALUE!</v>
      </c>
      <c r="M119" s="204"/>
      <c r="N119" s="206" t="e">
        <f aca="false">L119+H119</f>
        <v>#VALUE!</v>
      </c>
      <c r="O119" s="206" t="e">
        <f aca="false">N119+Control!$C$39</f>
        <v>#VALUE!</v>
      </c>
      <c r="P119" s="207" t="e">
        <f aca="false">VLOOKUP($A119,CurveFetch!$D$8:$E$367,2)</f>
        <v>#VALUE!</v>
      </c>
      <c r="Q119" s="208" t="e">
        <f aca="false">P119</f>
        <v>#VALUE!</v>
      </c>
      <c r="R119" s="209" t="e">
        <f aca="true">A119-1-TODAY()</f>
        <v>#VALUE!</v>
      </c>
      <c r="S119" s="210" t="e">
        <f aca="false">VLOOKUP($A119,Curve_Fetch,VLOOKUP(Control!$AJ$10,Control!$AI$11:$AM$22,5))</f>
        <v>#VALUE!</v>
      </c>
      <c r="T119" s="211" t="e">
        <f aca="false">EURO(N119,O119,P119,Q119,S119,R119,IF(Control!$C$38="Call",1,0),0)</f>
        <v>#NAME?</v>
      </c>
      <c r="U119" s="174" t="e">
        <f aca="false">T119*B119*E119</f>
        <v>#VALUE!</v>
      </c>
      <c r="V119" s="212"/>
      <c r="W119" s="213"/>
      <c r="X119" s="213"/>
      <c r="Y119" s="213"/>
      <c r="AA119" s="214"/>
      <c r="AB119" s="214"/>
      <c r="AC119" s="215"/>
      <c r="AD119" s="216"/>
      <c r="AE119" s="217"/>
      <c r="AF119" s="218"/>
      <c r="AG119" s="219"/>
      <c r="AH119" s="220"/>
      <c r="AI119" s="174"/>
      <c r="AJ119" s="171" t="e">
        <f aca="false">Y119-L119</f>
        <v>#VALUE!</v>
      </c>
      <c r="AL119" s="208" t="e">
        <f aca="false">VLOOKUP($C119,Curve_Fetch,2)+Cost_of_Funds</f>
        <v>#VALUE!</v>
      </c>
      <c r="AM119" s="210" t="e">
        <f aca="false">1/(1+AL119/2)^(2*(C119-Val_Date)/365.25)</f>
        <v>#VALUE!</v>
      </c>
      <c r="AO119" s="222" t="e">
        <f aca="false">$B119*$E119*$AM119</f>
        <v>#VALUE!</v>
      </c>
      <c r="AP119" s="222"/>
      <c r="AQ119" s="222" t="e">
        <f aca="false">H119*AO119</f>
        <v>#VALUE!</v>
      </c>
      <c r="AR119" s="222"/>
      <c r="AS119" s="174" t="e">
        <f aca="false">J119*$AO119</f>
        <v>#VALUE!</v>
      </c>
      <c r="AT119" s="174" t="e">
        <f aca="false">K119*$AO119</f>
        <v>#VALUE!</v>
      </c>
      <c r="AU119" s="174" t="e">
        <f aca="false">L119*$AO119</f>
        <v>#VALUE!</v>
      </c>
      <c r="AV119" s="174"/>
      <c r="AW119" s="174"/>
      <c r="AY119" s="220"/>
      <c r="AZ119" s="220"/>
      <c r="BA119" s="223"/>
      <c r="BC119" s="220"/>
      <c r="BE119" s="206"/>
    </row>
    <row r="120" customFormat="false" ht="12.75" hidden="false" customHeight="false" outlineLevel="0" collapsed="false">
      <c r="A120" s="167" t="e">
        <f aca="false">([1]!edate,A119,1)</f>
        <v>#VALUE!</v>
      </c>
      <c r="B120" s="201" t="e">
        <f aca="false">A121-A120</f>
        <v>#VALUE!</v>
      </c>
      <c r="C120" s="202" t="e">
        <f aca="false">IF(Control!$F$18="Physical",Model!A121+24,Model!A121)</f>
        <v>#VALUE!</v>
      </c>
      <c r="E120" s="203" t="e">
        <f aca="false">IF($A120&lt;End_Date,IF(Control!$C$20="Flat",Control!$C$21,VLOOKUP(Model!$A120,Euro!$B$29:$D$182,3)),0)</f>
        <v>#VALUE!</v>
      </c>
      <c r="F120" s="203" t="e">
        <f aca="false">E120*B120</f>
        <v>#VALUE!</v>
      </c>
      <c r="H120" s="204" t="e">
        <f aca="false">IF(Control!$C$27="Mid",VLOOKUP($A120,CurveFetch!$D$8:$F$367,3),VLOOKUP($A120,Euro!$B$29:$I$182,8))</f>
        <v>#VALUE!</v>
      </c>
      <c r="I120" s="204"/>
      <c r="J120" s="204" t="e">
        <f aca="false">IF($J$4="Mid",VLOOKUP($A120,Curve_Fetch,VLOOKUP(Control!$AJ$10,Control!$AI$11:$AK$22,3)),VLOOKUP($A120,Euro!$B$29:$M$182,12))</f>
        <v>#VALUE!</v>
      </c>
      <c r="K120" s="205" t="e">
        <f aca="false">IF(Control!$F$18="Physical",IF($K$4="Mid",VLOOKUP($A120,Curve_Fetch,VLOOKUP(Control!$AJ$10,Control!$AI$11:$AL$22,4)),VLOOKUP($A120,Euro!$B$29:$Q$182,16)),0)</f>
        <v>#VALUE!</v>
      </c>
      <c r="L120" s="204" t="e">
        <f aca="false">SUM(J120:K120)</f>
        <v>#VALUE!</v>
      </c>
      <c r="M120" s="204"/>
      <c r="N120" s="206" t="e">
        <f aca="false">L120+H120</f>
        <v>#VALUE!</v>
      </c>
      <c r="O120" s="206" t="e">
        <f aca="false">N120+Control!$C$39</f>
        <v>#VALUE!</v>
      </c>
      <c r="P120" s="207" t="e">
        <f aca="false">VLOOKUP($A120,CurveFetch!$D$8:$E$367,2)</f>
        <v>#VALUE!</v>
      </c>
      <c r="Q120" s="208" t="e">
        <f aca="false">P120</f>
        <v>#VALUE!</v>
      </c>
      <c r="R120" s="209" t="e">
        <f aca="true">A120-1-TODAY()</f>
        <v>#VALUE!</v>
      </c>
      <c r="S120" s="210" t="e">
        <f aca="false">VLOOKUP($A120,Curve_Fetch,VLOOKUP(Control!$AJ$10,Control!$AI$11:$AM$22,5))</f>
        <v>#VALUE!</v>
      </c>
      <c r="T120" s="211" t="e">
        <f aca="false">EURO(N120,O120,P120,Q120,S120,R120,IF(Control!$C$38="Call",1,0),0)</f>
        <v>#NAME?</v>
      </c>
      <c r="U120" s="174" t="e">
        <f aca="false">T120*B120*E120</f>
        <v>#VALUE!</v>
      </c>
      <c r="V120" s="212"/>
      <c r="W120" s="213"/>
      <c r="X120" s="213"/>
      <c r="Y120" s="213"/>
      <c r="AA120" s="214"/>
      <c r="AB120" s="214"/>
      <c r="AC120" s="215"/>
      <c r="AD120" s="216"/>
      <c r="AE120" s="217"/>
      <c r="AF120" s="218"/>
      <c r="AG120" s="219"/>
      <c r="AH120" s="220"/>
      <c r="AI120" s="174"/>
      <c r="AJ120" s="171" t="e">
        <f aca="false">Y120-L120</f>
        <v>#VALUE!</v>
      </c>
      <c r="AL120" s="208" t="e">
        <f aca="false">VLOOKUP($C120,Curve_Fetch,2)+Cost_of_Funds</f>
        <v>#VALUE!</v>
      </c>
      <c r="AM120" s="210" t="e">
        <f aca="false">1/(1+AL120/2)^(2*(C120-Val_Date)/365.25)</f>
        <v>#VALUE!</v>
      </c>
      <c r="AO120" s="222" t="e">
        <f aca="false">$B120*$E120*$AM120</f>
        <v>#VALUE!</v>
      </c>
      <c r="AP120" s="222"/>
      <c r="AQ120" s="222" t="e">
        <f aca="false">H120*AO120</f>
        <v>#VALUE!</v>
      </c>
      <c r="AR120" s="222"/>
      <c r="AS120" s="174" t="e">
        <f aca="false">J120*$AO120</f>
        <v>#VALUE!</v>
      </c>
      <c r="AT120" s="174" t="e">
        <f aca="false">K120*$AO120</f>
        <v>#VALUE!</v>
      </c>
      <c r="AU120" s="174" t="e">
        <f aca="false">L120*$AO120</f>
        <v>#VALUE!</v>
      </c>
      <c r="AV120" s="174"/>
      <c r="AW120" s="174"/>
      <c r="AY120" s="220"/>
      <c r="AZ120" s="220"/>
      <c r="BA120" s="223"/>
      <c r="BC120" s="220"/>
      <c r="BE120" s="206"/>
    </row>
    <row r="121" customFormat="false" ht="12.75" hidden="false" customHeight="false" outlineLevel="0" collapsed="false">
      <c r="A121" s="167" t="e">
        <f aca="false">([1]!edate,A120,1)</f>
        <v>#VALUE!</v>
      </c>
      <c r="B121" s="201" t="e">
        <f aca="false">A122-A121</f>
        <v>#VALUE!</v>
      </c>
      <c r="C121" s="202" t="e">
        <f aca="false">IF(Control!$F$18="Physical",Model!A122+24,Model!A122)</f>
        <v>#VALUE!</v>
      </c>
      <c r="E121" s="203" t="e">
        <f aca="false">IF($A121&lt;End_Date,IF(Control!$C$20="Flat",Control!$C$21,VLOOKUP(Model!$A121,Euro!$B$29:$D$182,3)),0)</f>
        <v>#VALUE!</v>
      </c>
      <c r="F121" s="203" t="e">
        <f aca="false">E121*B121</f>
        <v>#VALUE!</v>
      </c>
      <c r="H121" s="204" t="e">
        <f aca="false">IF(Control!$C$27="Mid",VLOOKUP($A121,CurveFetch!$D$8:$F$367,3),VLOOKUP($A121,Euro!$B$29:$I$182,8))</f>
        <v>#VALUE!</v>
      </c>
      <c r="I121" s="204"/>
      <c r="J121" s="204" t="e">
        <f aca="false">IF($J$4="Mid",VLOOKUP($A121,Curve_Fetch,VLOOKUP(Control!$AJ$10,Control!$AI$11:$AK$22,3)),VLOOKUP($A121,Euro!$B$29:$M$182,12))</f>
        <v>#VALUE!</v>
      </c>
      <c r="K121" s="205" t="e">
        <f aca="false">IF(Control!$F$18="Physical",IF($K$4="Mid",VLOOKUP($A121,Curve_Fetch,VLOOKUP(Control!$AJ$10,Control!$AI$11:$AL$22,4)),VLOOKUP($A121,Euro!$B$29:$Q$182,16)),0)</f>
        <v>#VALUE!</v>
      </c>
      <c r="L121" s="204" t="e">
        <f aca="false">SUM(J121:K121)</f>
        <v>#VALUE!</v>
      </c>
      <c r="M121" s="204"/>
      <c r="N121" s="206" t="e">
        <f aca="false">L121+H121</f>
        <v>#VALUE!</v>
      </c>
      <c r="O121" s="206" t="e">
        <f aca="false">N121+Control!$C$39</f>
        <v>#VALUE!</v>
      </c>
      <c r="P121" s="207" t="e">
        <f aca="false">VLOOKUP($A121,CurveFetch!$D$8:$E$367,2)</f>
        <v>#VALUE!</v>
      </c>
      <c r="Q121" s="208" t="e">
        <f aca="false">P121</f>
        <v>#VALUE!</v>
      </c>
      <c r="R121" s="209" t="e">
        <f aca="true">A121-1-TODAY()</f>
        <v>#VALUE!</v>
      </c>
      <c r="S121" s="210" t="e">
        <f aca="false">VLOOKUP($A121,Curve_Fetch,VLOOKUP(Control!$AJ$10,Control!$AI$11:$AM$22,5))</f>
        <v>#VALUE!</v>
      </c>
      <c r="T121" s="211" t="e">
        <f aca="false">EURO(N121,O121,P121,Q121,S121,R121,IF(Control!$C$38="Call",1,0),0)</f>
        <v>#NAME?</v>
      </c>
      <c r="U121" s="174" t="e">
        <f aca="false">T121*B121*E121</f>
        <v>#VALUE!</v>
      </c>
      <c r="V121" s="212"/>
      <c r="W121" s="213"/>
      <c r="X121" s="213"/>
      <c r="Y121" s="213"/>
      <c r="AA121" s="214"/>
      <c r="AB121" s="214"/>
      <c r="AC121" s="215"/>
      <c r="AD121" s="216"/>
      <c r="AE121" s="217"/>
      <c r="AF121" s="218"/>
      <c r="AG121" s="219"/>
      <c r="AH121" s="220"/>
      <c r="AI121" s="174"/>
      <c r="AJ121" s="171" t="e">
        <f aca="false">Y121-L121</f>
        <v>#VALUE!</v>
      </c>
      <c r="AL121" s="208" t="e">
        <f aca="false">VLOOKUP($C121,Curve_Fetch,2)+Cost_of_Funds</f>
        <v>#VALUE!</v>
      </c>
      <c r="AM121" s="210" t="e">
        <f aca="false">1/(1+AL121/2)^(2*(C121-Val_Date)/365.25)</f>
        <v>#VALUE!</v>
      </c>
      <c r="AO121" s="222" t="e">
        <f aca="false">$B121*$E121*$AM121</f>
        <v>#VALUE!</v>
      </c>
      <c r="AP121" s="222"/>
      <c r="AQ121" s="222" t="e">
        <f aca="false">H121*AO121</f>
        <v>#VALUE!</v>
      </c>
      <c r="AR121" s="222"/>
      <c r="AS121" s="174" t="e">
        <f aca="false">J121*$AO121</f>
        <v>#VALUE!</v>
      </c>
      <c r="AT121" s="174" t="e">
        <f aca="false">K121*$AO121</f>
        <v>#VALUE!</v>
      </c>
      <c r="AU121" s="174" t="e">
        <f aca="false">L121*$AO121</f>
        <v>#VALUE!</v>
      </c>
      <c r="AV121" s="174"/>
      <c r="AW121" s="174"/>
      <c r="AY121" s="220"/>
      <c r="AZ121" s="220"/>
      <c r="BA121" s="223"/>
      <c r="BC121" s="220"/>
      <c r="BE121" s="206"/>
    </row>
    <row r="122" customFormat="false" ht="12.75" hidden="false" customHeight="false" outlineLevel="0" collapsed="false">
      <c r="A122" s="167" t="e">
        <f aca="false">([1]!edate,A121,1)</f>
        <v>#VALUE!</v>
      </c>
      <c r="B122" s="201" t="e">
        <f aca="false">A123-A122</f>
        <v>#VALUE!</v>
      </c>
      <c r="C122" s="202" t="e">
        <f aca="false">IF(Control!$F$18="Physical",Model!A123+24,Model!A123)</f>
        <v>#VALUE!</v>
      </c>
      <c r="E122" s="203" t="e">
        <f aca="false">IF($A122&lt;End_Date,IF(Control!$C$20="Flat",Control!$C$21,VLOOKUP(Model!$A122,Euro!$B$29:$D$182,3)),0)</f>
        <v>#VALUE!</v>
      </c>
      <c r="F122" s="203" t="e">
        <f aca="false">E122*B122</f>
        <v>#VALUE!</v>
      </c>
      <c r="H122" s="204" t="e">
        <f aca="false">IF(Control!$C$27="Mid",VLOOKUP($A122,CurveFetch!$D$8:$F$367,3),VLOOKUP($A122,Euro!$B$29:$I$182,8))</f>
        <v>#VALUE!</v>
      </c>
      <c r="I122" s="204"/>
      <c r="J122" s="204" t="e">
        <f aca="false">IF($J$4="Mid",VLOOKUP($A122,Curve_Fetch,VLOOKUP(Control!$AJ$10,Control!$AI$11:$AK$22,3)),VLOOKUP($A122,Euro!$B$29:$M$182,12))</f>
        <v>#VALUE!</v>
      </c>
      <c r="K122" s="205" t="e">
        <f aca="false">IF(Control!$F$18="Physical",IF($K$4="Mid",VLOOKUP($A122,Curve_Fetch,VLOOKUP(Control!$AJ$10,Control!$AI$11:$AL$22,4)),VLOOKUP($A122,Euro!$B$29:$Q$182,16)),0)</f>
        <v>#VALUE!</v>
      </c>
      <c r="L122" s="204" t="e">
        <f aca="false">SUM(J122:K122)</f>
        <v>#VALUE!</v>
      </c>
      <c r="M122" s="204"/>
      <c r="N122" s="206" t="e">
        <f aca="false">L122+H122</f>
        <v>#VALUE!</v>
      </c>
      <c r="O122" s="206" t="e">
        <f aca="false">N122+Control!$C$39</f>
        <v>#VALUE!</v>
      </c>
      <c r="P122" s="207" t="e">
        <f aca="false">VLOOKUP($A122,CurveFetch!$D$8:$E$367,2)</f>
        <v>#VALUE!</v>
      </c>
      <c r="Q122" s="208" t="e">
        <f aca="false">P122</f>
        <v>#VALUE!</v>
      </c>
      <c r="R122" s="209" t="e">
        <f aca="true">A122-1-TODAY()</f>
        <v>#VALUE!</v>
      </c>
      <c r="S122" s="210" t="e">
        <f aca="false">VLOOKUP($A122,Curve_Fetch,VLOOKUP(Control!$AJ$10,Control!$AI$11:$AM$22,5))</f>
        <v>#VALUE!</v>
      </c>
      <c r="T122" s="211" t="e">
        <f aca="false">EURO(N122,O122,P122,Q122,S122,R122,IF(Control!$C$38="Call",1,0),0)</f>
        <v>#NAME?</v>
      </c>
      <c r="U122" s="174" t="e">
        <f aca="false">T122*B122*E122</f>
        <v>#VALUE!</v>
      </c>
      <c r="V122" s="212"/>
      <c r="W122" s="213"/>
      <c r="X122" s="213"/>
      <c r="Y122" s="213"/>
      <c r="AA122" s="214"/>
      <c r="AB122" s="214"/>
      <c r="AC122" s="215"/>
      <c r="AD122" s="216"/>
      <c r="AE122" s="217"/>
      <c r="AF122" s="218"/>
      <c r="AG122" s="219"/>
      <c r="AH122" s="220"/>
      <c r="AI122" s="174"/>
      <c r="AJ122" s="171" t="e">
        <f aca="false">Y122-L122</f>
        <v>#VALUE!</v>
      </c>
      <c r="AL122" s="208" t="e">
        <f aca="false">VLOOKUP($C122,Curve_Fetch,2)+Cost_of_Funds</f>
        <v>#VALUE!</v>
      </c>
      <c r="AM122" s="210" t="e">
        <f aca="false">1/(1+AL122/2)^(2*(C122-Val_Date)/365.25)</f>
        <v>#VALUE!</v>
      </c>
      <c r="AO122" s="222" t="e">
        <f aca="false">$B122*$E122*$AM122</f>
        <v>#VALUE!</v>
      </c>
      <c r="AP122" s="222"/>
      <c r="AQ122" s="222" t="e">
        <f aca="false">H122*AO122</f>
        <v>#VALUE!</v>
      </c>
      <c r="AR122" s="222"/>
      <c r="AS122" s="174" t="e">
        <f aca="false">J122*$AO122</f>
        <v>#VALUE!</v>
      </c>
      <c r="AT122" s="174" t="e">
        <f aca="false">K122*$AO122</f>
        <v>#VALUE!</v>
      </c>
      <c r="AU122" s="174" t="e">
        <f aca="false">L122*$AO122</f>
        <v>#VALUE!</v>
      </c>
      <c r="AV122" s="174"/>
      <c r="AW122" s="174"/>
      <c r="AY122" s="220"/>
      <c r="AZ122" s="220"/>
      <c r="BA122" s="223"/>
      <c r="BC122" s="220"/>
      <c r="BE122" s="206"/>
    </row>
    <row r="123" customFormat="false" ht="12.75" hidden="false" customHeight="false" outlineLevel="0" collapsed="false">
      <c r="A123" s="167" t="e">
        <f aca="false">([1]!edate,A122,1)</f>
        <v>#VALUE!</v>
      </c>
      <c r="B123" s="201" t="e">
        <f aca="false">A124-A123</f>
        <v>#VALUE!</v>
      </c>
      <c r="C123" s="202" t="e">
        <f aca="false">IF(Control!$F$18="Physical",Model!A124+24,Model!A124)</f>
        <v>#VALUE!</v>
      </c>
      <c r="E123" s="203" t="e">
        <f aca="false">IF($A123&lt;End_Date,IF(Control!$C$20="Flat",Control!$C$21,VLOOKUP(Model!$A123,Euro!$B$29:$D$182,3)),0)</f>
        <v>#VALUE!</v>
      </c>
      <c r="F123" s="203" t="e">
        <f aca="false">E123*B123</f>
        <v>#VALUE!</v>
      </c>
      <c r="H123" s="204" t="e">
        <f aca="false">IF(Control!$C$27="Mid",VLOOKUP($A123,CurveFetch!$D$8:$F$367,3),VLOOKUP($A123,Euro!$B$29:$I$182,8))</f>
        <v>#VALUE!</v>
      </c>
      <c r="I123" s="204"/>
      <c r="J123" s="204" t="e">
        <f aca="false">IF($J$4="Mid",VLOOKUP($A123,Curve_Fetch,VLOOKUP(Control!$AJ$10,Control!$AI$11:$AK$22,3)),VLOOKUP($A123,Euro!$B$29:$M$182,12))</f>
        <v>#VALUE!</v>
      </c>
      <c r="K123" s="205" t="e">
        <f aca="false">IF(Control!$F$18="Physical",IF($K$4="Mid",VLOOKUP($A123,Curve_Fetch,VLOOKUP(Control!$AJ$10,Control!$AI$11:$AL$22,4)),VLOOKUP($A123,Euro!$B$29:$Q$182,16)),0)</f>
        <v>#VALUE!</v>
      </c>
      <c r="L123" s="204" t="e">
        <f aca="false">SUM(J123:K123)</f>
        <v>#VALUE!</v>
      </c>
      <c r="M123" s="204"/>
      <c r="N123" s="206" t="e">
        <f aca="false">L123+H123</f>
        <v>#VALUE!</v>
      </c>
      <c r="O123" s="206" t="e">
        <f aca="false">N123+Control!$C$39</f>
        <v>#VALUE!</v>
      </c>
      <c r="P123" s="207" t="e">
        <f aca="false">VLOOKUP($A123,CurveFetch!$D$8:$E$367,2)</f>
        <v>#VALUE!</v>
      </c>
      <c r="Q123" s="208" t="e">
        <f aca="false">P123</f>
        <v>#VALUE!</v>
      </c>
      <c r="R123" s="209" t="e">
        <f aca="true">A123-1-TODAY()</f>
        <v>#VALUE!</v>
      </c>
      <c r="S123" s="210" t="e">
        <f aca="false">VLOOKUP($A123,Curve_Fetch,VLOOKUP(Control!$AJ$10,Control!$AI$11:$AM$22,5))</f>
        <v>#VALUE!</v>
      </c>
      <c r="T123" s="211" t="e">
        <f aca="false">EURO(N123,O123,P123,Q123,S123,R123,IF(Control!$C$38="Call",1,0),0)</f>
        <v>#NAME?</v>
      </c>
      <c r="U123" s="174" t="e">
        <f aca="false">T123*B123*E123</f>
        <v>#VALUE!</v>
      </c>
      <c r="V123" s="212"/>
      <c r="W123" s="213"/>
      <c r="X123" s="213"/>
      <c r="Y123" s="213"/>
      <c r="AA123" s="214"/>
      <c r="AB123" s="214"/>
      <c r="AC123" s="215"/>
      <c r="AD123" s="216"/>
      <c r="AE123" s="217"/>
      <c r="AF123" s="218"/>
      <c r="AG123" s="219"/>
      <c r="AH123" s="220"/>
      <c r="AI123" s="174"/>
      <c r="AJ123" s="171" t="e">
        <f aca="false">Y123-L123</f>
        <v>#VALUE!</v>
      </c>
      <c r="AL123" s="208" t="e">
        <f aca="false">VLOOKUP($C123,Curve_Fetch,2)+Cost_of_Funds</f>
        <v>#VALUE!</v>
      </c>
      <c r="AM123" s="210" t="e">
        <f aca="false">1/(1+AL123/2)^(2*(C123-Val_Date)/365.25)</f>
        <v>#VALUE!</v>
      </c>
      <c r="AO123" s="222" t="e">
        <f aca="false">$B123*$E123*$AM123</f>
        <v>#VALUE!</v>
      </c>
      <c r="AP123" s="222"/>
      <c r="AQ123" s="222" t="e">
        <f aca="false">H123*AO123</f>
        <v>#VALUE!</v>
      </c>
      <c r="AR123" s="222"/>
      <c r="AS123" s="174" t="e">
        <f aca="false">J123*$AO123</f>
        <v>#VALUE!</v>
      </c>
      <c r="AT123" s="174" t="e">
        <f aca="false">K123*$AO123</f>
        <v>#VALUE!</v>
      </c>
      <c r="AU123" s="174" t="e">
        <f aca="false">L123*$AO123</f>
        <v>#VALUE!</v>
      </c>
      <c r="AV123" s="174"/>
      <c r="AW123" s="174"/>
      <c r="AY123" s="220"/>
      <c r="AZ123" s="220"/>
      <c r="BA123" s="223"/>
      <c r="BC123" s="220"/>
      <c r="BE123" s="206"/>
    </row>
    <row r="124" customFormat="false" ht="12.75" hidden="false" customHeight="false" outlineLevel="0" collapsed="false">
      <c r="A124" s="167" t="e">
        <f aca="false">([1]!edate,A123,1)</f>
        <v>#VALUE!</v>
      </c>
      <c r="B124" s="201" t="e">
        <f aca="false">A125-A124</f>
        <v>#VALUE!</v>
      </c>
      <c r="C124" s="202" t="e">
        <f aca="false">IF(Control!$F$18="Physical",Model!A125+24,Model!A125)</f>
        <v>#VALUE!</v>
      </c>
      <c r="E124" s="203" t="e">
        <f aca="false">IF($A124&lt;End_Date,IF(Control!$C$20="Flat",Control!$C$21,VLOOKUP(Model!$A124,Euro!$B$29:$D$182,3)),0)</f>
        <v>#VALUE!</v>
      </c>
      <c r="F124" s="203" t="e">
        <f aca="false">E124*B124</f>
        <v>#VALUE!</v>
      </c>
      <c r="H124" s="204" t="e">
        <f aca="false">IF(Control!$C$27="Mid",VLOOKUP($A124,CurveFetch!$D$8:$F$367,3),VLOOKUP($A124,Euro!$B$29:$I$182,8))</f>
        <v>#VALUE!</v>
      </c>
      <c r="I124" s="204"/>
      <c r="J124" s="204" t="e">
        <f aca="false">IF($J$4="Mid",VLOOKUP($A124,Curve_Fetch,VLOOKUP(Control!$AJ$10,Control!$AI$11:$AK$22,3)),VLOOKUP($A124,Euro!$B$29:$M$182,12))</f>
        <v>#VALUE!</v>
      </c>
      <c r="K124" s="205" t="e">
        <f aca="false">IF(Control!$F$18="Physical",IF($K$4="Mid",VLOOKUP($A124,Curve_Fetch,VLOOKUP(Control!$AJ$10,Control!$AI$11:$AL$22,4)),VLOOKUP($A124,Euro!$B$29:$Q$182,16)),0)</f>
        <v>#VALUE!</v>
      </c>
      <c r="L124" s="204" t="e">
        <f aca="false">SUM(J124:K124)</f>
        <v>#VALUE!</v>
      </c>
      <c r="M124" s="204"/>
      <c r="N124" s="206" t="e">
        <f aca="false">L124+H124</f>
        <v>#VALUE!</v>
      </c>
      <c r="O124" s="206" t="e">
        <f aca="false">N124+Control!$C$39</f>
        <v>#VALUE!</v>
      </c>
      <c r="P124" s="207" t="e">
        <f aca="false">VLOOKUP($A124,CurveFetch!$D$8:$E$367,2)</f>
        <v>#VALUE!</v>
      </c>
      <c r="Q124" s="208" t="e">
        <f aca="false">P124</f>
        <v>#VALUE!</v>
      </c>
      <c r="R124" s="209" t="e">
        <f aca="true">A124-1-TODAY()</f>
        <v>#VALUE!</v>
      </c>
      <c r="S124" s="210" t="e">
        <f aca="false">VLOOKUP($A124,Curve_Fetch,VLOOKUP(Control!$AJ$10,Control!$AI$11:$AM$22,5))</f>
        <v>#VALUE!</v>
      </c>
      <c r="T124" s="211" t="e">
        <f aca="false">EURO(N124,O124,P124,Q124,S124,R124,IF(Control!$C$38="Call",1,0),0)</f>
        <v>#NAME?</v>
      </c>
      <c r="U124" s="174" t="e">
        <f aca="false">T124*B124*E124</f>
        <v>#VALUE!</v>
      </c>
      <c r="V124" s="212"/>
      <c r="W124" s="213"/>
      <c r="X124" s="213"/>
      <c r="Y124" s="213"/>
      <c r="AA124" s="214"/>
      <c r="AB124" s="214"/>
      <c r="AC124" s="215"/>
      <c r="AD124" s="216"/>
      <c r="AE124" s="217"/>
      <c r="AF124" s="218"/>
      <c r="AG124" s="219"/>
      <c r="AH124" s="220"/>
      <c r="AI124" s="174"/>
      <c r="AJ124" s="171" t="e">
        <f aca="false">Y124-L124</f>
        <v>#VALUE!</v>
      </c>
      <c r="AL124" s="208" t="e">
        <f aca="false">VLOOKUP($C124,Curve_Fetch,2)+Cost_of_Funds</f>
        <v>#VALUE!</v>
      </c>
      <c r="AM124" s="210" t="e">
        <f aca="false">1/(1+AL124/2)^(2*(C124-Val_Date)/365.25)</f>
        <v>#VALUE!</v>
      </c>
      <c r="AO124" s="222" t="e">
        <f aca="false">$B124*$E124*$AM124</f>
        <v>#VALUE!</v>
      </c>
      <c r="AP124" s="222"/>
      <c r="AQ124" s="222" t="e">
        <f aca="false">H124*AO124</f>
        <v>#VALUE!</v>
      </c>
      <c r="AR124" s="222"/>
      <c r="AS124" s="174" t="e">
        <f aca="false">J124*$AO124</f>
        <v>#VALUE!</v>
      </c>
      <c r="AT124" s="174" t="e">
        <f aca="false">K124*$AO124</f>
        <v>#VALUE!</v>
      </c>
      <c r="AU124" s="174" t="e">
        <f aca="false">L124*$AO124</f>
        <v>#VALUE!</v>
      </c>
      <c r="AV124" s="174"/>
      <c r="AW124" s="174"/>
      <c r="AY124" s="220"/>
      <c r="AZ124" s="220"/>
      <c r="BA124" s="223"/>
      <c r="BC124" s="220"/>
      <c r="BE124" s="206"/>
    </row>
    <row r="125" customFormat="false" ht="12.75" hidden="false" customHeight="false" outlineLevel="0" collapsed="false">
      <c r="A125" s="167" t="e">
        <f aca="false">([1]!edate,A124,1)</f>
        <v>#VALUE!</v>
      </c>
      <c r="B125" s="201" t="e">
        <f aca="false">A126-A125</f>
        <v>#VALUE!</v>
      </c>
      <c r="C125" s="202" t="e">
        <f aca="false">IF(Control!$F$18="Physical",Model!A126+24,Model!A126)</f>
        <v>#VALUE!</v>
      </c>
      <c r="E125" s="203" t="e">
        <f aca="false">IF($A125&lt;End_Date,IF(Control!$C$20="Flat",Control!$C$21,VLOOKUP(Model!$A125,Euro!$B$29:$D$182,3)),0)</f>
        <v>#VALUE!</v>
      </c>
      <c r="F125" s="203" t="e">
        <f aca="false">E125*B125</f>
        <v>#VALUE!</v>
      </c>
      <c r="H125" s="204" t="e">
        <f aca="false">IF(Control!$C$27="Mid",VLOOKUP($A125,CurveFetch!$D$8:$F$367,3),VLOOKUP($A125,Euro!$B$29:$I$182,8))</f>
        <v>#VALUE!</v>
      </c>
      <c r="I125" s="204"/>
      <c r="J125" s="204" t="e">
        <f aca="false">IF($J$4="Mid",VLOOKUP($A125,Curve_Fetch,VLOOKUP(Control!$AJ$10,Control!$AI$11:$AK$22,3)),VLOOKUP($A125,Euro!$B$29:$M$182,12))</f>
        <v>#VALUE!</v>
      </c>
      <c r="K125" s="205" t="e">
        <f aca="false">IF(Control!$F$18="Physical",IF($K$4="Mid",VLOOKUP($A125,Curve_Fetch,VLOOKUP(Control!$AJ$10,Control!$AI$11:$AL$22,4)),VLOOKUP($A125,Euro!$B$29:$Q$182,16)),0)</f>
        <v>#VALUE!</v>
      </c>
      <c r="L125" s="204" t="e">
        <f aca="false">SUM(J125:K125)</f>
        <v>#VALUE!</v>
      </c>
      <c r="M125" s="204"/>
      <c r="N125" s="206" t="e">
        <f aca="false">L125+H125</f>
        <v>#VALUE!</v>
      </c>
      <c r="O125" s="206" t="e">
        <f aca="false">N125+Control!$C$39</f>
        <v>#VALUE!</v>
      </c>
      <c r="P125" s="207" t="e">
        <f aca="false">VLOOKUP($A125,CurveFetch!$D$8:$E$367,2)</f>
        <v>#VALUE!</v>
      </c>
      <c r="Q125" s="208" t="e">
        <f aca="false">P125</f>
        <v>#VALUE!</v>
      </c>
      <c r="R125" s="209" t="e">
        <f aca="true">A125-1-TODAY()</f>
        <v>#VALUE!</v>
      </c>
      <c r="S125" s="210" t="e">
        <f aca="false">VLOOKUP($A125,Curve_Fetch,VLOOKUP(Control!$AJ$10,Control!$AI$11:$AM$22,5))</f>
        <v>#VALUE!</v>
      </c>
      <c r="T125" s="211" t="e">
        <f aca="false">EURO(N125,O125,P125,Q125,S125,R125,IF(Control!$C$38="Call",1,0),0)</f>
        <v>#NAME?</v>
      </c>
      <c r="U125" s="174" t="e">
        <f aca="false">T125*B125*E125</f>
        <v>#VALUE!</v>
      </c>
      <c r="V125" s="212"/>
      <c r="W125" s="213"/>
      <c r="X125" s="213"/>
      <c r="Y125" s="213"/>
      <c r="AA125" s="214"/>
      <c r="AB125" s="214"/>
      <c r="AC125" s="215"/>
      <c r="AD125" s="216"/>
      <c r="AE125" s="217"/>
      <c r="AF125" s="218"/>
      <c r="AG125" s="219"/>
      <c r="AH125" s="220"/>
      <c r="AI125" s="174"/>
      <c r="AJ125" s="171" t="e">
        <f aca="false">Y125-L125</f>
        <v>#VALUE!</v>
      </c>
      <c r="AL125" s="208" t="e">
        <f aca="false">VLOOKUP($C125,Curve_Fetch,2)+Cost_of_Funds</f>
        <v>#VALUE!</v>
      </c>
      <c r="AM125" s="210" t="e">
        <f aca="false">1/(1+AL125/2)^(2*(C125-Val_Date)/365.25)</f>
        <v>#VALUE!</v>
      </c>
      <c r="AO125" s="222" t="e">
        <f aca="false">$B125*$E125*$AM125</f>
        <v>#VALUE!</v>
      </c>
      <c r="AP125" s="222"/>
      <c r="AQ125" s="222" t="e">
        <f aca="false">H125*AO125</f>
        <v>#VALUE!</v>
      </c>
      <c r="AR125" s="222"/>
      <c r="AS125" s="174" t="e">
        <f aca="false">J125*$AO125</f>
        <v>#VALUE!</v>
      </c>
      <c r="AT125" s="174" t="e">
        <f aca="false">K125*$AO125</f>
        <v>#VALUE!</v>
      </c>
      <c r="AU125" s="174" t="e">
        <f aca="false">L125*$AO125</f>
        <v>#VALUE!</v>
      </c>
      <c r="AV125" s="174"/>
      <c r="AW125" s="174"/>
      <c r="AY125" s="220"/>
      <c r="AZ125" s="220"/>
      <c r="BA125" s="223"/>
      <c r="BC125" s="220"/>
      <c r="BE125" s="206"/>
    </row>
    <row r="126" customFormat="false" ht="12.75" hidden="false" customHeight="false" outlineLevel="0" collapsed="false">
      <c r="A126" s="167" t="e">
        <f aca="false">([1]!edate,A125,1)</f>
        <v>#VALUE!</v>
      </c>
      <c r="B126" s="201" t="e">
        <f aca="false">A127-A126</f>
        <v>#VALUE!</v>
      </c>
      <c r="C126" s="202" t="e">
        <f aca="false">IF(Control!$F$18="Physical",Model!A127+24,Model!A127)</f>
        <v>#VALUE!</v>
      </c>
      <c r="E126" s="203" t="e">
        <f aca="false">IF($A126&lt;End_Date,IF(Control!$C$20="Flat",Control!$C$21,VLOOKUP(Model!$A126,Euro!$B$29:$D$182,3)),0)</f>
        <v>#VALUE!</v>
      </c>
      <c r="F126" s="203" t="e">
        <f aca="false">E126*B126</f>
        <v>#VALUE!</v>
      </c>
      <c r="H126" s="204" t="e">
        <f aca="false">IF(Control!$C$27="Mid",VLOOKUP($A126,CurveFetch!$D$8:$F$367,3),VLOOKUP($A126,Euro!$B$29:$I$182,8))</f>
        <v>#VALUE!</v>
      </c>
      <c r="I126" s="204"/>
      <c r="J126" s="204" t="e">
        <f aca="false">IF($J$4="Mid",VLOOKUP($A126,Curve_Fetch,VLOOKUP(Control!$AJ$10,Control!$AI$11:$AK$22,3)),VLOOKUP($A126,Euro!$B$29:$M$182,12))</f>
        <v>#VALUE!</v>
      </c>
      <c r="K126" s="205" t="e">
        <f aca="false">IF(Control!$F$18="Physical",IF($K$4="Mid",VLOOKUP($A126,Curve_Fetch,VLOOKUP(Control!$AJ$10,Control!$AI$11:$AL$22,4)),VLOOKUP($A126,Euro!$B$29:$Q$182,16)),0)</f>
        <v>#VALUE!</v>
      </c>
      <c r="L126" s="204" t="e">
        <f aca="false">SUM(J126:K126)</f>
        <v>#VALUE!</v>
      </c>
      <c r="M126" s="204"/>
      <c r="N126" s="206" t="e">
        <f aca="false">L126+H126</f>
        <v>#VALUE!</v>
      </c>
      <c r="O126" s="206" t="e">
        <f aca="false">N126+Control!$C$39</f>
        <v>#VALUE!</v>
      </c>
      <c r="P126" s="207" t="e">
        <f aca="false">VLOOKUP($A126,CurveFetch!$D$8:$E$367,2)</f>
        <v>#VALUE!</v>
      </c>
      <c r="Q126" s="208" t="e">
        <f aca="false">P126</f>
        <v>#VALUE!</v>
      </c>
      <c r="R126" s="209" t="e">
        <f aca="true">A126-1-TODAY()</f>
        <v>#VALUE!</v>
      </c>
      <c r="S126" s="210" t="e">
        <f aca="false">VLOOKUP($A126,Curve_Fetch,VLOOKUP(Control!$AJ$10,Control!$AI$11:$AM$22,5))</f>
        <v>#VALUE!</v>
      </c>
      <c r="T126" s="211" t="e">
        <f aca="false">EURO(N126,O126,P126,Q126,S126,R126,IF(Control!$C$38="Call",1,0),0)</f>
        <v>#NAME?</v>
      </c>
      <c r="U126" s="174" t="e">
        <f aca="false">T126*B126*E126</f>
        <v>#VALUE!</v>
      </c>
      <c r="V126" s="212"/>
      <c r="W126" s="213"/>
      <c r="X126" s="213"/>
      <c r="Y126" s="213"/>
      <c r="AA126" s="214"/>
      <c r="AB126" s="214"/>
      <c r="AC126" s="215"/>
      <c r="AD126" s="216"/>
      <c r="AE126" s="217"/>
      <c r="AF126" s="218"/>
      <c r="AG126" s="219"/>
      <c r="AH126" s="220"/>
      <c r="AI126" s="174"/>
      <c r="AJ126" s="171" t="e">
        <f aca="false">Y126-L126</f>
        <v>#VALUE!</v>
      </c>
      <c r="AL126" s="208" t="e">
        <f aca="false">VLOOKUP($C126,Curve_Fetch,2)+Cost_of_Funds</f>
        <v>#VALUE!</v>
      </c>
      <c r="AM126" s="210" t="e">
        <f aca="false">1/(1+AL126/2)^(2*(C126-Val_Date)/365.25)</f>
        <v>#VALUE!</v>
      </c>
      <c r="AO126" s="222" t="e">
        <f aca="false">$B126*$E126*$AM126</f>
        <v>#VALUE!</v>
      </c>
      <c r="AP126" s="222"/>
      <c r="AQ126" s="222" t="e">
        <f aca="false">H126*AO126</f>
        <v>#VALUE!</v>
      </c>
      <c r="AR126" s="222"/>
      <c r="AS126" s="174" t="e">
        <f aca="false">J126*$AO126</f>
        <v>#VALUE!</v>
      </c>
      <c r="AT126" s="174" t="e">
        <f aca="false">K126*$AO126</f>
        <v>#VALUE!</v>
      </c>
      <c r="AU126" s="174" t="e">
        <f aca="false">L126*$AO126</f>
        <v>#VALUE!</v>
      </c>
      <c r="AV126" s="174"/>
      <c r="AW126" s="174"/>
      <c r="AY126" s="220"/>
      <c r="AZ126" s="220"/>
      <c r="BA126" s="223"/>
      <c r="BC126" s="220"/>
      <c r="BE126" s="206"/>
    </row>
    <row r="127" customFormat="false" ht="12.75" hidden="false" customHeight="false" outlineLevel="0" collapsed="false">
      <c r="A127" s="167" t="e">
        <f aca="false">([1]!edate,A126,1)</f>
        <v>#VALUE!</v>
      </c>
      <c r="B127" s="201" t="e">
        <f aca="false">A128-A127</f>
        <v>#VALUE!</v>
      </c>
      <c r="C127" s="202" t="e">
        <f aca="false">IF(Control!$F$18="Physical",Model!A128+24,Model!A128)</f>
        <v>#VALUE!</v>
      </c>
      <c r="E127" s="203" t="e">
        <f aca="false">IF($A127&lt;End_Date,IF(Control!$C$20="Flat",Control!$C$21,VLOOKUP(Model!$A127,Euro!$B$29:$D$182,3)),0)</f>
        <v>#VALUE!</v>
      </c>
      <c r="F127" s="203" t="e">
        <f aca="false">E127*B127</f>
        <v>#VALUE!</v>
      </c>
      <c r="H127" s="204" t="e">
        <f aca="false">IF(Control!$C$27="Mid",VLOOKUP($A127,CurveFetch!$D$8:$F$367,3),VLOOKUP($A127,Euro!$B$29:$I$182,8))</f>
        <v>#VALUE!</v>
      </c>
      <c r="I127" s="204"/>
      <c r="J127" s="204" t="e">
        <f aca="false">IF($J$4="Mid",VLOOKUP($A127,Curve_Fetch,VLOOKUP(Control!$AJ$10,Control!$AI$11:$AK$22,3)),VLOOKUP($A127,Euro!$B$29:$M$182,12))</f>
        <v>#VALUE!</v>
      </c>
      <c r="K127" s="205" t="e">
        <f aca="false">IF(Control!$F$18="Physical",IF($K$4="Mid",VLOOKUP($A127,Curve_Fetch,VLOOKUP(Control!$AJ$10,Control!$AI$11:$AL$22,4)),VLOOKUP($A127,Euro!$B$29:$Q$182,16)),0)</f>
        <v>#VALUE!</v>
      </c>
      <c r="L127" s="204" t="e">
        <f aca="false">SUM(J127:K127)</f>
        <v>#VALUE!</v>
      </c>
      <c r="M127" s="204"/>
      <c r="N127" s="206" t="e">
        <f aca="false">L127+H127</f>
        <v>#VALUE!</v>
      </c>
      <c r="O127" s="206" t="e">
        <f aca="false">N127+Control!$C$39</f>
        <v>#VALUE!</v>
      </c>
      <c r="P127" s="207" t="e">
        <f aca="false">VLOOKUP($A127,CurveFetch!$D$8:$E$367,2)</f>
        <v>#VALUE!</v>
      </c>
      <c r="Q127" s="208" t="e">
        <f aca="false">P127</f>
        <v>#VALUE!</v>
      </c>
      <c r="R127" s="209" t="e">
        <f aca="true">A127-1-TODAY()</f>
        <v>#VALUE!</v>
      </c>
      <c r="S127" s="210" t="e">
        <f aca="false">VLOOKUP($A127,Curve_Fetch,VLOOKUP(Control!$AJ$10,Control!$AI$11:$AM$22,5))</f>
        <v>#VALUE!</v>
      </c>
      <c r="T127" s="211" t="e">
        <f aca="false">EURO(N127,O127,P127,Q127,S127,R127,IF(Control!$C$38="Call",1,0),0)</f>
        <v>#NAME?</v>
      </c>
      <c r="U127" s="174" t="e">
        <f aca="false">T127*B127*E127</f>
        <v>#VALUE!</v>
      </c>
      <c r="V127" s="212"/>
      <c r="W127" s="213"/>
      <c r="X127" s="213"/>
      <c r="Y127" s="213"/>
      <c r="AA127" s="214"/>
      <c r="AB127" s="214"/>
      <c r="AC127" s="215"/>
      <c r="AD127" s="216"/>
      <c r="AE127" s="217"/>
      <c r="AF127" s="218"/>
      <c r="AG127" s="219"/>
      <c r="AH127" s="220"/>
      <c r="AI127" s="174"/>
      <c r="AJ127" s="171" t="e">
        <f aca="false">Y127-L127</f>
        <v>#VALUE!</v>
      </c>
      <c r="AL127" s="208" t="e">
        <f aca="false">VLOOKUP($C127,Curve_Fetch,2)+Cost_of_Funds</f>
        <v>#VALUE!</v>
      </c>
      <c r="AM127" s="210" t="e">
        <f aca="false">1/(1+AL127/2)^(2*(C127-Val_Date)/365.25)</f>
        <v>#VALUE!</v>
      </c>
      <c r="AO127" s="222" t="e">
        <f aca="false">$B127*$E127*$AM127</f>
        <v>#VALUE!</v>
      </c>
      <c r="AP127" s="222"/>
      <c r="AQ127" s="222" t="e">
        <f aca="false">H127*AO127</f>
        <v>#VALUE!</v>
      </c>
      <c r="AR127" s="222"/>
      <c r="AS127" s="174" t="e">
        <f aca="false">J127*$AO127</f>
        <v>#VALUE!</v>
      </c>
      <c r="AT127" s="174" t="e">
        <f aca="false">K127*$AO127</f>
        <v>#VALUE!</v>
      </c>
      <c r="AU127" s="174" t="e">
        <f aca="false">L127*$AO127</f>
        <v>#VALUE!</v>
      </c>
      <c r="AV127" s="174"/>
      <c r="AW127" s="174"/>
      <c r="AY127" s="220"/>
      <c r="AZ127" s="220"/>
      <c r="BA127" s="223"/>
      <c r="BC127" s="220"/>
      <c r="BE127" s="206"/>
    </row>
    <row r="128" customFormat="false" ht="12.75" hidden="false" customHeight="false" outlineLevel="0" collapsed="false">
      <c r="A128" s="167" t="e">
        <f aca="false">([1]!edate,A127,1)</f>
        <v>#VALUE!</v>
      </c>
      <c r="B128" s="201" t="e">
        <f aca="false">A129-A128</f>
        <v>#VALUE!</v>
      </c>
      <c r="C128" s="202" t="e">
        <f aca="false">IF(Control!$F$18="Physical",Model!A129+24,Model!A129)</f>
        <v>#VALUE!</v>
      </c>
      <c r="E128" s="203" t="e">
        <f aca="false">IF($A128&lt;End_Date,IF(Control!$C$20="Flat",Control!$C$21,VLOOKUP(Model!$A128,Euro!$B$29:$D$182,3)),0)</f>
        <v>#VALUE!</v>
      </c>
      <c r="F128" s="203" t="e">
        <f aca="false">E128*B128</f>
        <v>#VALUE!</v>
      </c>
      <c r="H128" s="204" t="e">
        <f aca="false">IF(Control!$C$27="Mid",VLOOKUP($A128,CurveFetch!$D$8:$F$367,3),VLOOKUP($A128,Euro!$B$29:$I$182,8))</f>
        <v>#VALUE!</v>
      </c>
      <c r="I128" s="204"/>
      <c r="J128" s="204" t="e">
        <f aca="false">IF($J$4="Mid",VLOOKUP($A128,Curve_Fetch,VLOOKUP(Control!$AJ$10,Control!$AI$11:$AK$22,3)),VLOOKUP($A128,Euro!$B$29:$M$182,12))</f>
        <v>#VALUE!</v>
      </c>
      <c r="K128" s="205" t="e">
        <f aca="false">IF(Control!$F$18="Physical",IF($K$4="Mid",VLOOKUP($A128,Curve_Fetch,VLOOKUP(Control!$AJ$10,Control!$AI$11:$AL$22,4)),VLOOKUP($A128,Euro!$B$29:$Q$182,16)),0)</f>
        <v>#VALUE!</v>
      </c>
      <c r="L128" s="204" t="e">
        <f aca="false">SUM(J128:K128)</f>
        <v>#VALUE!</v>
      </c>
      <c r="M128" s="204"/>
      <c r="N128" s="206" t="e">
        <f aca="false">L128+H128</f>
        <v>#VALUE!</v>
      </c>
      <c r="O128" s="206" t="e">
        <f aca="false">N128+Control!$C$39</f>
        <v>#VALUE!</v>
      </c>
      <c r="P128" s="207" t="e">
        <f aca="false">VLOOKUP($A128,CurveFetch!$D$8:$E$367,2)</f>
        <v>#VALUE!</v>
      </c>
      <c r="Q128" s="208" t="e">
        <f aca="false">P128</f>
        <v>#VALUE!</v>
      </c>
      <c r="R128" s="209" t="e">
        <f aca="true">A128-1-TODAY()</f>
        <v>#VALUE!</v>
      </c>
      <c r="S128" s="210" t="e">
        <f aca="false">VLOOKUP($A128,Curve_Fetch,VLOOKUP(Control!$AJ$10,Control!$AI$11:$AM$22,5))</f>
        <v>#VALUE!</v>
      </c>
      <c r="T128" s="211" t="e">
        <f aca="false">EURO(N128,O128,P128,Q128,S128,R128,IF(Control!$C$38="Call",1,0),0)</f>
        <v>#NAME?</v>
      </c>
      <c r="U128" s="174" t="e">
        <f aca="false">T128*B128*E128</f>
        <v>#VALUE!</v>
      </c>
      <c r="V128" s="212"/>
      <c r="W128" s="213"/>
      <c r="X128" s="213"/>
      <c r="Y128" s="213"/>
      <c r="AA128" s="214"/>
      <c r="AB128" s="214"/>
      <c r="AC128" s="215"/>
      <c r="AD128" s="216"/>
      <c r="AE128" s="217"/>
      <c r="AF128" s="218"/>
      <c r="AG128" s="219"/>
      <c r="AH128" s="220"/>
      <c r="AI128" s="174"/>
      <c r="AJ128" s="171" t="e">
        <f aca="false">Y128-L128</f>
        <v>#VALUE!</v>
      </c>
      <c r="AL128" s="208" t="e">
        <f aca="false">VLOOKUP($C128,Curve_Fetch,2)+Cost_of_Funds</f>
        <v>#VALUE!</v>
      </c>
      <c r="AM128" s="210" t="e">
        <f aca="false">1/(1+AL128/2)^(2*(C128-Val_Date)/365.25)</f>
        <v>#VALUE!</v>
      </c>
      <c r="AO128" s="222" t="e">
        <f aca="false">$B128*$E128*$AM128</f>
        <v>#VALUE!</v>
      </c>
      <c r="AP128" s="222"/>
      <c r="AQ128" s="222" t="e">
        <f aca="false">H128*AO128</f>
        <v>#VALUE!</v>
      </c>
      <c r="AR128" s="222"/>
      <c r="AS128" s="174" t="e">
        <f aca="false">J128*$AO128</f>
        <v>#VALUE!</v>
      </c>
      <c r="AT128" s="174" t="e">
        <f aca="false">K128*$AO128</f>
        <v>#VALUE!</v>
      </c>
      <c r="AU128" s="174" t="e">
        <f aca="false">L128*$AO128</f>
        <v>#VALUE!</v>
      </c>
      <c r="AV128" s="174"/>
      <c r="AW128" s="174"/>
      <c r="AY128" s="220"/>
      <c r="AZ128" s="220"/>
      <c r="BA128" s="223"/>
      <c r="BC128" s="220"/>
      <c r="BE128" s="206"/>
    </row>
    <row r="129" customFormat="false" ht="12.75" hidden="false" customHeight="false" outlineLevel="0" collapsed="false">
      <c r="A129" s="167" t="e">
        <f aca="false">([1]!edate,A128,1)</f>
        <v>#VALUE!</v>
      </c>
      <c r="B129" s="201" t="e">
        <f aca="false">A130-A129</f>
        <v>#VALUE!</v>
      </c>
      <c r="C129" s="202" t="e">
        <f aca="false">IF(Control!$F$18="Physical",Model!A130+24,Model!A130)</f>
        <v>#VALUE!</v>
      </c>
      <c r="E129" s="203" t="e">
        <f aca="false">IF($A129&lt;End_Date,IF(Control!$C$20="Flat",Control!$C$21,VLOOKUP(Model!$A129,Euro!$B$29:$D$182,3)),0)</f>
        <v>#VALUE!</v>
      </c>
      <c r="F129" s="203" t="e">
        <f aca="false">E129*B129</f>
        <v>#VALUE!</v>
      </c>
      <c r="H129" s="204" t="e">
        <f aca="false">IF(Control!$C$27="Mid",VLOOKUP($A129,CurveFetch!$D$8:$F$367,3),VLOOKUP($A129,Euro!$B$29:$I$182,8))</f>
        <v>#VALUE!</v>
      </c>
      <c r="I129" s="204"/>
      <c r="J129" s="204" t="e">
        <f aca="false">IF($J$4="Mid",VLOOKUP($A129,Curve_Fetch,VLOOKUP(Control!$AJ$10,Control!$AI$11:$AK$22,3)),VLOOKUP($A129,Euro!$B$29:$M$182,12))</f>
        <v>#VALUE!</v>
      </c>
      <c r="K129" s="205" t="e">
        <f aca="false">IF(Control!$F$18="Physical",IF($K$4="Mid",VLOOKUP($A129,Curve_Fetch,VLOOKUP(Control!$AJ$10,Control!$AI$11:$AL$22,4)),VLOOKUP($A129,Euro!$B$29:$Q$182,16)),0)</f>
        <v>#VALUE!</v>
      </c>
      <c r="L129" s="204" t="e">
        <f aca="false">SUM(J129:K129)</f>
        <v>#VALUE!</v>
      </c>
      <c r="M129" s="204"/>
      <c r="N129" s="206" t="e">
        <f aca="false">L129+H129</f>
        <v>#VALUE!</v>
      </c>
      <c r="O129" s="206" t="e">
        <f aca="false">N129+Control!$C$39</f>
        <v>#VALUE!</v>
      </c>
      <c r="P129" s="207" t="e">
        <f aca="false">VLOOKUP($A129,CurveFetch!$D$8:$E$367,2)</f>
        <v>#VALUE!</v>
      </c>
      <c r="Q129" s="208" t="e">
        <f aca="false">P129</f>
        <v>#VALUE!</v>
      </c>
      <c r="R129" s="209" t="e">
        <f aca="true">A129-1-TODAY()</f>
        <v>#VALUE!</v>
      </c>
      <c r="S129" s="210" t="e">
        <f aca="false">VLOOKUP($A129,Curve_Fetch,VLOOKUP(Control!$AJ$10,Control!$AI$11:$AM$22,5))</f>
        <v>#VALUE!</v>
      </c>
      <c r="T129" s="211" t="e">
        <f aca="false">EURO(N129,O129,P129,Q129,S129,R129,IF(Control!$C$38="Call",1,0),0)</f>
        <v>#NAME?</v>
      </c>
      <c r="U129" s="174" t="e">
        <f aca="false">T129*B129*E129</f>
        <v>#VALUE!</v>
      </c>
      <c r="V129" s="212"/>
      <c r="W129" s="213"/>
      <c r="X129" s="213"/>
      <c r="Y129" s="213"/>
      <c r="AA129" s="214"/>
      <c r="AB129" s="214"/>
      <c r="AC129" s="215"/>
      <c r="AD129" s="216"/>
      <c r="AE129" s="217"/>
      <c r="AF129" s="218"/>
      <c r="AG129" s="219"/>
      <c r="AH129" s="220"/>
      <c r="AI129" s="174"/>
      <c r="AJ129" s="171" t="e">
        <f aca="false">Y129-L129</f>
        <v>#VALUE!</v>
      </c>
      <c r="AL129" s="208" t="e">
        <f aca="false">VLOOKUP($C129,Curve_Fetch,2)+Cost_of_Funds</f>
        <v>#VALUE!</v>
      </c>
      <c r="AM129" s="210" t="e">
        <f aca="false">1/(1+AL129/2)^(2*(C129-Val_Date)/365.25)</f>
        <v>#VALUE!</v>
      </c>
      <c r="AO129" s="222" t="e">
        <f aca="false">$B129*$E129*$AM129</f>
        <v>#VALUE!</v>
      </c>
      <c r="AP129" s="222"/>
      <c r="AQ129" s="222" t="e">
        <f aca="false">H129*AO129</f>
        <v>#VALUE!</v>
      </c>
      <c r="AR129" s="222"/>
      <c r="AS129" s="174" t="e">
        <f aca="false">J129*$AO129</f>
        <v>#VALUE!</v>
      </c>
      <c r="AT129" s="174" t="e">
        <f aca="false">K129*$AO129</f>
        <v>#VALUE!</v>
      </c>
      <c r="AU129" s="174" t="e">
        <f aca="false">L129*$AO129</f>
        <v>#VALUE!</v>
      </c>
      <c r="AV129" s="174"/>
      <c r="AW129" s="174"/>
      <c r="AY129" s="220"/>
      <c r="AZ129" s="220"/>
      <c r="BA129" s="223"/>
      <c r="BC129" s="220"/>
      <c r="BE129" s="206"/>
    </row>
    <row r="130" customFormat="false" ht="12.75" hidden="false" customHeight="false" outlineLevel="0" collapsed="false">
      <c r="A130" s="167" t="e">
        <f aca="false">([1]!edate,A129,1)</f>
        <v>#VALUE!</v>
      </c>
      <c r="B130" s="201" t="e">
        <f aca="false">A131-A130</f>
        <v>#VALUE!</v>
      </c>
      <c r="C130" s="202" t="e">
        <f aca="false">IF(Control!$F$18="Physical",Model!A131+24,Model!A131)</f>
        <v>#VALUE!</v>
      </c>
      <c r="E130" s="203" t="e">
        <f aca="false">IF($A130&lt;End_Date,IF(Control!$C$20="Flat",Control!$C$21,VLOOKUP(Model!$A130,Euro!$B$29:$D$182,3)),0)</f>
        <v>#VALUE!</v>
      </c>
      <c r="F130" s="203" t="e">
        <f aca="false">E130*B130</f>
        <v>#VALUE!</v>
      </c>
      <c r="H130" s="204" t="e">
        <f aca="false">IF(Control!$C$27="Mid",VLOOKUP($A130,CurveFetch!$D$8:$F$367,3),VLOOKUP($A130,Euro!$B$29:$I$182,8))</f>
        <v>#VALUE!</v>
      </c>
      <c r="I130" s="204"/>
      <c r="J130" s="204" t="e">
        <f aca="false">IF($J$4="Mid",VLOOKUP($A130,Curve_Fetch,VLOOKUP(Control!$AJ$10,Control!$AI$11:$AK$22,3)),VLOOKUP($A130,Euro!$B$29:$M$182,12))</f>
        <v>#VALUE!</v>
      </c>
      <c r="K130" s="205" t="e">
        <f aca="false">IF(Control!$F$18="Physical",IF($K$4="Mid",VLOOKUP($A130,Curve_Fetch,VLOOKUP(Control!$AJ$10,Control!$AI$11:$AL$22,4)),VLOOKUP($A130,Euro!$B$29:$Q$182,16)),0)</f>
        <v>#VALUE!</v>
      </c>
      <c r="L130" s="204" t="e">
        <f aca="false">SUM(J130:K130)</f>
        <v>#VALUE!</v>
      </c>
      <c r="M130" s="204"/>
      <c r="N130" s="206" t="e">
        <f aca="false">L130+H130</f>
        <v>#VALUE!</v>
      </c>
      <c r="O130" s="206" t="e">
        <f aca="false">N130+Control!$C$39</f>
        <v>#VALUE!</v>
      </c>
      <c r="P130" s="207" t="e">
        <f aca="false">VLOOKUP($A130,CurveFetch!$D$8:$E$367,2)</f>
        <v>#VALUE!</v>
      </c>
      <c r="Q130" s="208" t="e">
        <f aca="false">P130</f>
        <v>#VALUE!</v>
      </c>
      <c r="R130" s="209" t="e">
        <f aca="true">A130-1-TODAY()</f>
        <v>#VALUE!</v>
      </c>
      <c r="S130" s="210" t="e">
        <f aca="false">VLOOKUP($A130,Curve_Fetch,VLOOKUP(Control!$AJ$10,Control!$AI$11:$AM$22,5))</f>
        <v>#VALUE!</v>
      </c>
      <c r="T130" s="211" t="e">
        <f aca="false">EURO(N130,O130,P130,Q130,S130,R130,IF(Control!$C$38="Call",1,0),0)</f>
        <v>#NAME?</v>
      </c>
      <c r="U130" s="174" t="e">
        <f aca="false">T130*B130*E130</f>
        <v>#VALUE!</v>
      </c>
      <c r="V130" s="212"/>
      <c r="W130" s="213"/>
      <c r="X130" s="213"/>
      <c r="Y130" s="213"/>
      <c r="AA130" s="214"/>
      <c r="AB130" s="214"/>
      <c r="AC130" s="215"/>
      <c r="AD130" s="216"/>
      <c r="AE130" s="217"/>
      <c r="AF130" s="218"/>
      <c r="AG130" s="219"/>
      <c r="AH130" s="220"/>
      <c r="AI130" s="174"/>
      <c r="AJ130" s="171" t="e">
        <f aca="false">Y130-L130</f>
        <v>#VALUE!</v>
      </c>
      <c r="AL130" s="208" t="e">
        <f aca="false">VLOOKUP($C130,Curve_Fetch,2)+Cost_of_Funds</f>
        <v>#VALUE!</v>
      </c>
      <c r="AM130" s="210" t="e">
        <f aca="false">1/(1+AL130/2)^(2*(C130-Val_Date)/365.25)</f>
        <v>#VALUE!</v>
      </c>
      <c r="AO130" s="222" t="e">
        <f aca="false">$B130*$E130*$AM130</f>
        <v>#VALUE!</v>
      </c>
      <c r="AP130" s="222"/>
      <c r="AQ130" s="222" t="e">
        <f aca="false">H130*AO130</f>
        <v>#VALUE!</v>
      </c>
      <c r="AR130" s="222"/>
      <c r="AS130" s="174" t="e">
        <f aca="false">J130*$AO130</f>
        <v>#VALUE!</v>
      </c>
      <c r="AT130" s="174" t="e">
        <f aca="false">K130*$AO130</f>
        <v>#VALUE!</v>
      </c>
      <c r="AU130" s="174" t="e">
        <f aca="false">L130*$AO130</f>
        <v>#VALUE!</v>
      </c>
      <c r="AV130" s="174"/>
      <c r="AW130" s="174"/>
      <c r="AY130" s="220"/>
      <c r="AZ130" s="220"/>
      <c r="BA130" s="223"/>
      <c r="BC130" s="220"/>
      <c r="BE130" s="206"/>
    </row>
    <row r="131" customFormat="false" ht="12.75" hidden="false" customHeight="false" outlineLevel="0" collapsed="false">
      <c r="A131" s="167" t="e">
        <f aca="false">([1]!edate,A130,1)</f>
        <v>#VALUE!</v>
      </c>
      <c r="B131" s="201" t="e">
        <f aca="false">A132-A131</f>
        <v>#VALUE!</v>
      </c>
      <c r="C131" s="202" t="e">
        <f aca="false">IF(Control!$F$18="Physical",Model!A132+24,Model!A132)</f>
        <v>#VALUE!</v>
      </c>
      <c r="E131" s="203" t="e">
        <f aca="false">IF($A131&lt;End_Date,IF(Control!$C$20="Flat",Control!$C$21,VLOOKUP(Model!$A131,Euro!$B$29:$D$182,3)),0)</f>
        <v>#VALUE!</v>
      </c>
      <c r="F131" s="203" t="e">
        <f aca="false">E131*B131</f>
        <v>#VALUE!</v>
      </c>
      <c r="H131" s="204" t="e">
        <f aca="false">IF(Control!$C$27="Mid",VLOOKUP($A131,CurveFetch!$D$8:$F$367,3),VLOOKUP($A131,Euro!$B$29:$I$182,8))</f>
        <v>#VALUE!</v>
      </c>
      <c r="I131" s="204"/>
      <c r="J131" s="204" t="e">
        <f aca="false">IF($J$4="Mid",VLOOKUP($A131,Curve_Fetch,VLOOKUP(Control!$AJ$10,Control!$AI$11:$AK$22,3)),VLOOKUP($A131,Euro!$B$29:$M$182,12))</f>
        <v>#VALUE!</v>
      </c>
      <c r="K131" s="205" t="e">
        <f aca="false">IF(Control!$F$18="Physical",IF($K$4="Mid",VLOOKUP($A131,Curve_Fetch,VLOOKUP(Control!$AJ$10,Control!$AI$11:$AL$22,4)),VLOOKUP($A131,Euro!$B$29:$Q$182,16)),0)</f>
        <v>#VALUE!</v>
      </c>
      <c r="L131" s="204" t="e">
        <f aca="false">SUM(J131:K131)</f>
        <v>#VALUE!</v>
      </c>
      <c r="M131" s="204"/>
      <c r="N131" s="206" t="e">
        <f aca="false">L131+H131</f>
        <v>#VALUE!</v>
      </c>
      <c r="O131" s="206" t="e">
        <f aca="false">N131+Control!$C$39</f>
        <v>#VALUE!</v>
      </c>
      <c r="P131" s="207" t="e">
        <f aca="false">VLOOKUP($A131,CurveFetch!$D$8:$E$367,2)</f>
        <v>#VALUE!</v>
      </c>
      <c r="Q131" s="208" t="e">
        <f aca="false">P131</f>
        <v>#VALUE!</v>
      </c>
      <c r="R131" s="209" t="e">
        <f aca="true">A131-1-TODAY()</f>
        <v>#VALUE!</v>
      </c>
      <c r="S131" s="210" t="e">
        <f aca="false">VLOOKUP($A131,Curve_Fetch,VLOOKUP(Control!$AJ$10,Control!$AI$11:$AM$22,5))</f>
        <v>#VALUE!</v>
      </c>
      <c r="T131" s="211" t="e">
        <f aca="false">EURO(N131,O131,P131,Q131,S131,R131,IF(Control!$C$38="Call",1,0),0)</f>
        <v>#NAME?</v>
      </c>
      <c r="U131" s="174" t="e">
        <f aca="false">T131*B131*E131</f>
        <v>#VALUE!</v>
      </c>
      <c r="V131" s="212"/>
      <c r="W131" s="213"/>
      <c r="X131" s="213"/>
      <c r="Y131" s="213"/>
      <c r="AA131" s="214"/>
      <c r="AB131" s="214"/>
      <c r="AC131" s="215"/>
      <c r="AD131" s="216"/>
      <c r="AE131" s="217"/>
      <c r="AF131" s="218"/>
      <c r="AG131" s="219"/>
      <c r="AH131" s="220"/>
      <c r="AI131" s="174"/>
      <c r="AJ131" s="171" t="e">
        <f aca="false">Y131-L131</f>
        <v>#VALUE!</v>
      </c>
      <c r="AL131" s="208" t="e">
        <f aca="false">VLOOKUP($C131,Curve_Fetch,2)+Cost_of_Funds</f>
        <v>#VALUE!</v>
      </c>
      <c r="AM131" s="210" t="e">
        <f aca="false">1/(1+AL131/2)^(2*(C131-Val_Date)/365.25)</f>
        <v>#VALUE!</v>
      </c>
      <c r="AO131" s="222" t="e">
        <f aca="false">$B131*$E131*$AM131</f>
        <v>#VALUE!</v>
      </c>
      <c r="AP131" s="222"/>
      <c r="AQ131" s="222" t="e">
        <f aca="false">H131*AO131</f>
        <v>#VALUE!</v>
      </c>
      <c r="AR131" s="222"/>
      <c r="AS131" s="174" t="e">
        <f aca="false">J131*$AO131</f>
        <v>#VALUE!</v>
      </c>
      <c r="AT131" s="174" t="e">
        <f aca="false">K131*$AO131</f>
        <v>#VALUE!</v>
      </c>
      <c r="AU131" s="174" t="e">
        <f aca="false">L131*$AO131</f>
        <v>#VALUE!</v>
      </c>
      <c r="AV131" s="174"/>
      <c r="AW131" s="174"/>
      <c r="AY131" s="220"/>
      <c r="AZ131" s="220"/>
      <c r="BA131" s="223"/>
      <c r="BC131" s="220"/>
      <c r="BE131" s="206"/>
    </row>
    <row r="132" customFormat="false" ht="12.75" hidden="false" customHeight="false" outlineLevel="0" collapsed="false">
      <c r="A132" s="167" t="e">
        <f aca="false">([1]!edate,A131,1)</f>
        <v>#VALUE!</v>
      </c>
      <c r="B132" s="201" t="e">
        <f aca="false">A133-A132</f>
        <v>#VALUE!</v>
      </c>
      <c r="C132" s="202" t="e">
        <f aca="false">IF(Control!$F$18="Physical",Model!A133+24,Model!A133)</f>
        <v>#VALUE!</v>
      </c>
      <c r="E132" s="203" t="e">
        <f aca="false">IF($A132&lt;End_Date,IF(Control!$C$20="Flat",Control!$C$21,VLOOKUP(Model!$A132,Euro!$B$29:$D$182,3)),0)</f>
        <v>#VALUE!</v>
      </c>
      <c r="F132" s="203" t="e">
        <f aca="false">E132*B132</f>
        <v>#VALUE!</v>
      </c>
      <c r="H132" s="204" t="e">
        <f aca="false">IF(Control!$C$27="Mid",VLOOKUP($A132,CurveFetch!$D$8:$F$367,3),VLOOKUP($A132,Euro!$B$29:$I$182,8))</f>
        <v>#VALUE!</v>
      </c>
      <c r="I132" s="204"/>
      <c r="J132" s="204" t="e">
        <f aca="false">IF($J$4="Mid",VLOOKUP($A132,Curve_Fetch,VLOOKUP(Control!$AJ$10,Control!$AI$11:$AK$22,3)),VLOOKUP($A132,Euro!$B$29:$M$182,12))</f>
        <v>#VALUE!</v>
      </c>
      <c r="K132" s="205" t="e">
        <f aca="false">IF(Control!$F$18="Physical",IF($K$4="Mid",VLOOKUP($A132,Curve_Fetch,VLOOKUP(Control!$AJ$10,Control!$AI$11:$AL$22,4)),VLOOKUP($A132,Euro!$B$29:$Q$182,16)),0)</f>
        <v>#VALUE!</v>
      </c>
      <c r="L132" s="204" t="e">
        <f aca="false">SUM(J132:K132)</f>
        <v>#VALUE!</v>
      </c>
      <c r="M132" s="204"/>
      <c r="N132" s="206" t="e">
        <f aca="false">L132+H132</f>
        <v>#VALUE!</v>
      </c>
      <c r="O132" s="206" t="e">
        <f aca="false">N132+Control!$C$39</f>
        <v>#VALUE!</v>
      </c>
      <c r="P132" s="207" t="e">
        <f aca="false">VLOOKUP($A132,CurveFetch!$D$8:$E$367,2)</f>
        <v>#VALUE!</v>
      </c>
      <c r="Q132" s="208" t="e">
        <f aca="false">P132</f>
        <v>#VALUE!</v>
      </c>
      <c r="R132" s="209" t="e">
        <f aca="true">A132-1-TODAY()</f>
        <v>#VALUE!</v>
      </c>
      <c r="S132" s="210" t="e">
        <f aca="false">VLOOKUP($A132,Curve_Fetch,VLOOKUP(Control!$AJ$10,Control!$AI$11:$AM$22,5))</f>
        <v>#VALUE!</v>
      </c>
      <c r="T132" s="211" t="e">
        <f aca="false">EURO(N132,O132,P132,Q132,S132,R132,IF(Control!$C$38="Call",1,0),0)</f>
        <v>#NAME?</v>
      </c>
      <c r="U132" s="174" t="e">
        <f aca="false">T132*B132*E132</f>
        <v>#VALUE!</v>
      </c>
      <c r="V132" s="212"/>
      <c r="W132" s="213"/>
      <c r="X132" s="213"/>
      <c r="Y132" s="213"/>
      <c r="AA132" s="214"/>
      <c r="AB132" s="214"/>
      <c r="AC132" s="215"/>
      <c r="AD132" s="216"/>
      <c r="AE132" s="217"/>
      <c r="AF132" s="218"/>
      <c r="AG132" s="219"/>
      <c r="AH132" s="220"/>
      <c r="AI132" s="174"/>
      <c r="AJ132" s="171" t="e">
        <f aca="false">Y132-L132</f>
        <v>#VALUE!</v>
      </c>
      <c r="AL132" s="208" t="e">
        <f aca="false">VLOOKUP($C132,Curve_Fetch,2)+Cost_of_Funds</f>
        <v>#VALUE!</v>
      </c>
      <c r="AM132" s="210" t="e">
        <f aca="false">1/(1+AL132/2)^(2*(C132-Val_Date)/365.25)</f>
        <v>#VALUE!</v>
      </c>
      <c r="AO132" s="222" t="e">
        <f aca="false">$B132*$E132*$AM132</f>
        <v>#VALUE!</v>
      </c>
      <c r="AP132" s="222"/>
      <c r="AQ132" s="222" t="e">
        <f aca="false">H132*AO132</f>
        <v>#VALUE!</v>
      </c>
      <c r="AR132" s="222"/>
      <c r="AS132" s="174" t="e">
        <f aca="false">J132*$AO132</f>
        <v>#VALUE!</v>
      </c>
      <c r="AT132" s="174" t="e">
        <f aca="false">K132*$AO132</f>
        <v>#VALUE!</v>
      </c>
      <c r="AU132" s="174" t="e">
        <f aca="false">L132*$AO132</f>
        <v>#VALUE!</v>
      </c>
      <c r="AV132" s="174"/>
      <c r="AW132" s="174"/>
      <c r="AY132" s="220"/>
      <c r="AZ132" s="220"/>
      <c r="BA132" s="223"/>
      <c r="BC132" s="220"/>
      <c r="BE132" s="206"/>
    </row>
    <row r="133" customFormat="false" ht="12.75" hidden="false" customHeight="false" outlineLevel="0" collapsed="false">
      <c r="A133" s="167" t="e">
        <f aca="false">([1]!edate,A132,1)</f>
        <v>#VALUE!</v>
      </c>
      <c r="B133" s="201" t="e">
        <f aca="false">A134-A133</f>
        <v>#VALUE!</v>
      </c>
      <c r="C133" s="202" t="e">
        <f aca="false">IF(Control!$F$18="Physical",Model!A134+24,Model!A134)</f>
        <v>#VALUE!</v>
      </c>
      <c r="E133" s="203" t="e">
        <f aca="false">IF($A133&lt;End_Date,IF(Control!$C$20="Flat",Control!$C$21,VLOOKUP(Model!$A133,Euro!$B$29:$D$182,3)),0)</f>
        <v>#VALUE!</v>
      </c>
      <c r="F133" s="203" t="e">
        <f aca="false">E133*B133</f>
        <v>#VALUE!</v>
      </c>
      <c r="H133" s="204" t="e">
        <f aca="false">IF(Control!$C$27="Mid",VLOOKUP($A133,CurveFetch!$D$8:$F$367,3),VLOOKUP($A133,Euro!$B$29:$I$182,8))</f>
        <v>#VALUE!</v>
      </c>
      <c r="I133" s="204"/>
      <c r="J133" s="204" t="e">
        <f aca="false">IF($J$4="Mid",VLOOKUP($A133,Curve_Fetch,VLOOKUP(Control!$AJ$10,Control!$AI$11:$AK$22,3)),VLOOKUP($A133,Euro!$B$29:$M$182,12))</f>
        <v>#VALUE!</v>
      </c>
      <c r="K133" s="205" t="e">
        <f aca="false">IF(Control!$F$18="Physical",IF($K$4="Mid",VLOOKUP($A133,Curve_Fetch,VLOOKUP(Control!$AJ$10,Control!$AI$11:$AL$22,4)),VLOOKUP($A133,Euro!$B$29:$Q$182,16)),0)</f>
        <v>#VALUE!</v>
      </c>
      <c r="L133" s="204" t="e">
        <f aca="false">SUM(J133:K133)</f>
        <v>#VALUE!</v>
      </c>
      <c r="M133" s="204"/>
      <c r="N133" s="206" t="e">
        <f aca="false">L133+H133</f>
        <v>#VALUE!</v>
      </c>
      <c r="O133" s="206" t="e">
        <f aca="false">N133+Control!$C$39</f>
        <v>#VALUE!</v>
      </c>
      <c r="P133" s="207" t="e">
        <f aca="false">VLOOKUP($A133,CurveFetch!$D$8:$E$367,2)</f>
        <v>#VALUE!</v>
      </c>
      <c r="Q133" s="208" t="e">
        <f aca="false">P133</f>
        <v>#VALUE!</v>
      </c>
      <c r="R133" s="209" t="e">
        <f aca="true">A133-1-TODAY()</f>
        <v>#VALUE!</v>
      </c>
      <c r="S133" s="210" t="e">
        <f aca="false">VLOOKUP($A133,Curve_Fetch,VLOOKUP(Control!$AJ$10,Control!$AI$11:$AM$22,5))</f>
        <v>#VALUE!</v>
      </c>
      <c r="T133" s="211" t="e">
        <f aca="false">EURO(N133,O133,P133,Q133,S133,R133,IF(Control!$C$38="Call",1,0),0)</f>
        <v>#NAME?</v>
      </c>
      <c r="U133" s="174" t="e">
        <f aca="false">T133*B133*E133</f>
        <v>#VALUE!</v>
      </c>
      <c r="V133" s="212"/>
      <c r="W133" s="213"/>
      <c r="X133" s="213"/>
      <c r="Y133" s="213"/>
      <c r="AA133" s="214"/>
      <c r="AB133" s="214"/>
      <c r="AC133" s="215"/>
      <c r="AD133" s="216"/>
      <c r="AE133" s="217"/>
      <c r="AF133" s="218"/>
      <c r="AG133" s="219"/>
      <c r="AH133" s="220"/>
      <c r="AI133" s="174"/>
      <c r="AJ133" s="171" t="e">
        <f aca="false">Y133-L133</f>
        <v>#VALUE!</v>
      </c>
      <c r="AL133" s="208" t="e">
        <f aca="false">VLOOKUP($C133,Curve_Fetch,2)+Cost_of_Funds</f>
        <v>#VALUE!</v>
      </c>
      <c r="AM133" s="210" t="e">
        <f aca="false">1/(1+AL133/2)^(2*(C133-Val_Date)/365.25)</f>
        <v>#VALUE!</v>
      </c>
      <c r="AO133" s="222" t="e">
        <f aca="false">$B133*$E133*$AM133</f>
        <v>#VALUE!</v>
      </c>
      <c r="AP133" s="222"/>
      <c r="AQ133" s="222" t="e">
        <f aca="false">H133*AO133</f>
        <v>#VALUE!</v>
      </c>
      <c r="AR133" s="222"/>
      <c r="AS133" s="174" t="e">
        <f aca="false">J133*$AO133</f>
        <v>#VALUE!</v>
      </c>
      <c r="AT133" s="174" t="e">
        <f aca="false">K133*$AO133</f>
        <v>#VALUE!</v>
      </c>
      <c r="AU133" s="174" t="e">
        <f aca="false">L133*$AO133</f>
        <v>#VALUE!</v>
      </c>
      <c r="AV133" s="174"/>
      <c r="AW133" s="174"/>
      <c r="AY133" s="220"/>
      <c r="AZ133" s="220"/>
      <c r="BA133" s="223"/>
      <c r="BC133" s="220"/>
      <c r="BE133" s="206"/>
    </row>
    <row r="134" customFormat="false" ht="12.75" hidden="false" customHeight="false" outlineLevel="0" collapsed="false">
      <c r="A134" s="167" t="e">
        <f aca="false">([1]!edate,A133,1)</f>
        <v>#VALUE!</v>
      </c>
      <c r="B134" s="201" t="e">
        <f aca="false">A135-A134</f>
        <v>#VALUE!</v>
      </c>
      <c r="C134" s="202" t="e">
        <f aca="false">IF(Control!$F$18="Physical",Model!A135+24,Model!A135)</f>
        <v>#VALUE!</v>
      </c>
      <c r="E134" s="203" t="e">
        <f aca="false">IF($A134&lt;End_Date,IF(Control!$C$20="Flat",Control!$C$21,VLOOKUP(Model!$A134,Euro!$B$29:$D$182,3)),0)</f>
        <v>#VALUE!</v>
      </c>
      <c r="F134" s="203" t="e">
        <f aca="false">E134*B134</f>
        <v>#VALUE!</v>
      </c>
      <c r="H134" s="204" t="e">
        <f aca="false">IF(Control!$C$27="Mid",VLOOKUP($A134,CurveFetch!$D$8:$F$367,3),VLOOKUP($A134,Euro!$B$29:$I$182,8))</f>
        <v>#VALUE!</v>
      </c>
      <c r="I134" s="204"/>
      <c r="J134" s="204" t="e">
        <f aca="false">IF($J$4="Mid",VLOOKUP($A134,Curve_Fetch,VLOOKUP(Control!$AJ$10,Control!$AI$11:$AK$22,3)),VLOOKUP($A134,Euro!$B$29:$M$182,12))</f>
        <v>#VALUE!</v>
      </c>
      <c r="K134" s="205" t="e">
        <f aca="false">IF(Control!$F$18="Physical",IF($K$4="Mid",VLOOKUP($A134,Curve_Fetch,VLOOKUP(Control!$AJ$10,Control!$AI$11:$AL$22,4)),VLOOKUP($A134,Euro!$B$29:$Q$182,16)),0)</f>
        <v>#VALUE!</v>
      </c>
      <c r="L134" s="204" t="e">
        <f aca="false">SUM(J134:K134)</f>
        <v>#VALUE!</v>
      </c>
      <c r="M134" s="204"/>
      <c r="N134" s="206" t="e">
        <f aca="false">L134+H134</f>
        <v>#VALUE!</v>
      </c>
      <c r="O134" s="206" t="e">
        <f aca="false">N134+Control!$C$39</f>
        <v>#VALUE!</v>
      </c>
      <c r="P134" s="207" t="e">
        <f aca="false">VLOOKUP($A134,CurveFetch!$D$8:$E$367,2)</f>
        <v>#VALUE!</v>
      </c>
      <c r="Q134" s="208" t="e">
        <f aca="false">P134</f>
        <v>#VALUE!</v>
      </c>
      <c r="R134" s="209" t="e">
        <f aca="true">A134-1-TODAY()</f>
        <v>#VALUE!</v>
      </c>
      <c r="S134" s="210" t="e">
        <f aca="false">VLOOKUP($A134,Curve_Fetch,VLOOKUP(Control!$AJ$10,Control!$AI$11:$AM$22,5))</f>
        <v>#VALUE!</v>
      </c>
      <c r="T134" s="211" t="e">
        <f aca="false">EURO(N134,O134,P134,Q134,S134,R134,IF(Control!$C$38="Call",1,0),0)</f>
        <v>#NAME?</v>
      </c>
      <c r="U134" s="174" t="e">
        <f aca="false">T134*B134*E134</f>
        <v>#VALUE!</v>
      </c>
      <c r="V134" s="212"/>
      <c r="W134" s="213"/>
      <c r="X134" s="213"/>
      <c r="Y134" s="213"/>
      <c r="AA134" s="214"/>
      <c r="AB134" s="214"/>
      <c r="AC134" s="215"/>
      <c r="AD134" s="216"/>
      <c r="AE134" s="217"/>
      <c r="AF134" s="218"/>
      <c r="AG134" s="219"/>
      <c r="AH134" s="220"/>
      <c r="AI134" s="174"/>
      <c r="AJ134" s="171" t="e">
        <f aca="false">Y134-L134</f>
        <v>#VALUE!</v>
      </c>
      <c r="AL134" s="208" t="e">
        <f aca="false">VLOOKUP($C134,Curve_Fetch,2)+Cost_of_Funds</f>
        <v>#VALUE!</v>
      </c>
      <c r="AM134" s="210" t="e">
        <f aca="false">1/(1+AL134/2)^(2*(C134-Val_Date)/365.25)</f>
        <v>#VALUE!</v>
      </c>
      <c r="AO134" s="222" t="e">
        <f aca="false">$B134*$E134*$AM134</f>
        <v>#VALUE!</v>
      </c>
      <c r="AP134" s="222"/>
      <c r="AQ134" s="222" t="e">
        <f aca="false">H134*AO134</f>
        <v>#VALUE!</v>
      </c>
      <c r="AR134" s="222"/>
      <c r="AS134" s="174" t="e">
        <f aca="false">J134*$AO134</f>
        <v>#VALUE!</v>
      </c>
      <c r="AT134" s="174" t="e">
        <f aca="false">K134*$AO134</f>
        <v>#VALUE!</v>
      </c>
      <c r="AU134" s="174" t="e">
        <f aca="false">L134*$AO134</f>
        <v>#VALUE!</v>
      </c>
      <c r="AV134" s="174"/>
      <c r="AW134" s="174"/>
      <c r="AY134" s="220"/>
      <c r="AZ134" s="220"/>
      <c r="BA134" s="223"/>
      <c r="BC134" s="220"/>
      <c r="BE134" s="206"/>
    </row>
    <row r="135" customFormat="false" ht="12.75" hidden="false" customHeight="false" outlineLevel="0" collapsed="false">
      <c r="A135" s="167" t="e">
        <f aca="false">([1]!edate,A134,1)</f>
        <v>#VALUE!</v>
      </c>
      <c r="B135" s="201" t="e">
        <f aca="false">A136-A135</f>
        <v>#VALUE!</v>
      </c>
      <c r="C135" s="202" t="e">
        <f aca="false">IF(Control!$F$18="Physical",Model!A136+24,Model!A136)</f>
        <v>#VALUE!</v>
      </c>
      <c r="E135" s="203" t="e">
        <f aca="false">IF($A135&lt;End_Date,IF(Control!$C$20="Flat",Control!$C$21,VLOOKUP(Model!$A135,Euro!$B$29:$D$182,3)),0)</f>
        <v>#VALUE!</v>
      </c>
      <c r="F135" s="203" t="e">
        <f aca="false">E135*B135</f>
        <v>#VALUE!</v>
      </c>
      <c r="H135" s="204" t="e">
        <f aca="false">IF(Control!$C$27="Mid",VLOOKUP($A135,CurveFetch!$D$8:$F$367,3),VLOOKUP($A135,Euro!$B$29:$I$182,8))</f>
        <v>#VALUE!</v>
      </c>
      <c r="I135" s="204"/>
      <c r="J135" s="204" t="e">
        <f aca="false">IF($J$4="Mid",VLOOKUP($A135,Curve_Fetch,VLOOKUP(Control!$AJ$10,Control!$AI$11:$AK$22,3)),VLOOKUP($A135,Euro!$B$29:$M$182,12))</f>
        <v>#VALUE!</v>
      </c>
      <c r="K135" s="205" t="e">
        <f aca="false">IF(Control!$F$18="Physical",IF($K$4="Mid",VLOOKUP($A135,Curve_Fetch,VLOOKUP(Control!$AJ$10,Control!$AI$11:$AL$22,4)),VLOOKUP($A135,Euro!$B$29:$Q$182,16)),0)</f>
        <v>#VALUE!</v>
      </c>
      <c r="L135" s="204" t="e">
        <f aca="false">SUM(J135:K135)</f>
        <v>#VALUE!</v>
      </c>
      <c r="M135" s="204"/>
      <c r="N135" s="206" t="e">
        <f aca="false">L135+H135</f>
        <v>#VALUE!</v>
      </c>
      <c r="O135" s="206" t="e">
        <f aca="false">N135+Control!$C$39</f>
        <v>#VALUE!</v>
      </c>
      <c r="P135" s="207" t="e">
        <f aca="false">VLOOKUP($A135,CurveFetch!$D$8:$E$367,2)</f>
        <v>#VALUE!</v>
      </c>
      <c r="Q135" s="208" t="e">
        <f aca="false">P135</f>
        <v>#VALUE!</v>
      </c>
      <c r="R135" s="209" t="e">
        <f aca="true">A135-1-TODAY()</f>
        <v>#VALUE!</v>
      </c>
      <c r="S135" s="210" t="e">
        <f aca="false">VLOOKUP($A135,Curve_Fetch,VLOOKUP(Control!$AJ$10,Control!$AI$11:$AM$22,5))</f>
        <v>#VALUE!</v>
      </c>
      <c r="T135" s="211" t="e">
        <f aca="false">EURO(N135,O135,P135,Q135,S135,R135,IF(Control!$C$38="Call",1,0),0)</f>
        <v>#NAME?</v>
      </c>
      <c r="U135" s="174" t="e">
        <f aca="false">T135*B135*E135</f>
        <v>#VALUE!</v>
      </c>
      <c r="V135" s="212"/>
      <c r="W135" s="213"/>
      <c r="X135" s="213"/>
      <c r="Y135" s="213"/>
      <c r="AA135" s="214"/>
      <c r="AB135" s="214"/>
      <c r="AC135" s="215"/>
      <c r="AD135" s="216"/>
      <c r="AE135" s="217"/>
      <c r="AF135" s="218"/>
      <c r="AG135" s="219"/>
      <c r="AH135" s="220"/>
      <c r="AI135" s="174"/>
      <c r="AJ135" s="171" t="e">
        <f aca="false">Y135-L135</f>
        <v>#VALUE!</v>
      </c>
      <c r="AL135" s="208" t="e">
        <f aca="false">VLOOKUP($C135,Curve_Fetch,2)+Cost_of_Funds</f>
        <v>#VALUE!</v>
      </c>
      <c r="AM135" s="210" t="e">
        <f aca="false">1/(1+AL135/2)^(2*(C135-Val_Date)/365.25)</f>
        <v>#VALUE!</v>
      </c>
      <c r="AO135" s="222" t="e">
        <f aca="false">$B135*$E135*$AM135</f>
        <v>#VALUE!</v>
      </c>
      <c r="AP135" s="222"/>
      <c r="AQ135" s="222" t="e">
        <f aca="false">H135*AO135</f>
        <v>#VALUE!</v>
      </c>
      <c r="AR135" s="222"/>
      <c r="AS135" s="174" t="e">
        <f aca="false">J135*$AO135</f>
        <v>#VALUE!</v>
      </c>
      <c r="AT135" s="174" t="e">
        <f aca="false">K135*$AO135</f>
        <v>#VALUE!</v>
      </c>
      <c r="AU135" s="174" t="e">
        <f aca="false">L135*$AO135</f>
        <v>#VALUE!</v>
      </c>
      <c r="AV135" s="174"/>
      <c r="AW135" s="174"/>
      <c r="AY135" s="220"/>
      <c r="AZ135" s="220"/>
      <c r="BA135" s="223"/>
      <c r="BC135" s="220"/>
      <c r="BE135" s="206"/>
    </row>
    <row r="136" customFormat="false" ht="12.75" hidden="false" customHeight="false" outlineLevel="0" collapsed="false">
      <c r="A136" s="167" t="e">
        <f aca="false">([1]!edate,A135,1)</f>
        <v>#VALUE!</v>
      </c>
      <c r="B136" s="201" t="e">
        <f aca="false">A137-A136</f>
        <v>#VALUE!</v>
      </c>
      <c r="C136" s="202" t="e">
        <f aca="false">IF(Control!$F$18="Physical",Model!A137+24,Model!A137)</f>
        <v>#VALUE!</v>
      </c>
      <c r="E136" s="203" t="e">
        <f aca="false">IF($A136&lt;End_Date,IF(Control!$C$20="Flat",Control!$C$21,VLOOKUP(Model!$A136,Euro!$B$29:$D$182,3)),0)</f>
        <v>#VALUE!</v>
      </c>
      <c r="F136" s="203" t="e">
        <f aca="false">E136*B136</f>
        <v>#VALUE!</v>
      </c>
      <c r="H136" s="204" t="e">
        <f aca="false">IF(Control!$C$27="Mid",VLOOKUP($A136,CurveFetch!$D$8:$F$367,3),VLOOKUP($A136,Euro!$B$29:$I$182,8))</f>
        <v>#VALUE!</v>
      </c>
      <c r="I136" s="204"/>
      <c r="J136" s="204" t="e">
        <f aca="false">IF($J$4="Mid",VLOOKUP($A136,Curve_Fetch,VLOOKUP(Control!$AJ$10,Control!$AI$11:$AK$22,3)),VLOOKUP($A136,Euro!$B$29:$M$182,12))</f>
        <v>#VALUE!</v>
      </c>
      <c r="K136" s="205" t="e">
        <f aca="false">IF(Control!$F$18="Physical",IF($K$4="Mid",VLOOKUP($A136,Curve_Fetch,VLOOKUP(Control!$AJ$10,Control!$AI$11:$AL$22,4)),VLOOKUP($A136,Euro!$B$29:$Q$182,16)),0)</f>
        <v>#VALUE!</v>
      </c>
      <c r="L136" s="204" t="e">
        <f aca="false">SUM(J136:K136)</f>
        <v>#VALUE!</v>
      </c>
      <c r="M136" s="204"/>
      <c r="N136" s="206" t="e">
        <f aca="false">L136+H136</f>
        <v>#VALUE!</v>
      </c>
      <c r="O136" s="206" t="e">
        <f aca="false">N136+Control!$C$39</f>
        <v>#VALUE!</v>
      </c>
      <c r="P136" s="207" t="e">
        <f aca="false">VLOOKUP($A136,CurveFetch!$D$8:$E$367,2)</f>
        <v>#VALUE!</v>
      </c>
      <c r="Q136" s="208" t="e">
        <f aca="false">P136</f>
        <v>#VALUE!</v>
      </c>
      <c r="R136" s="209" t="e">
        <f aca="true">A136-1-TODAY()</f>
        <v>#VALUE!</v>
      </c>
      <c r="S136" s="210" t="e">
        <f aca="false">VLOOKUP($A136,Curve_Fetch,VLOOKUP(Control!$AJ$10,Control!$AI$11:$AM$22,5))</f>
        <v>#VALUE!</v>
      </c>
      <c r="T136" s="211" t="e">
        <f aca="false">EURO(N136,O136,P136,Q136,S136,R136,IF(Control!$C$38="Call",1,0),0)</f>
        <v>#NAME?</v>
      </c>
      <c r="U136" s="174" t="e">
        <f aca="false">T136*B136*E136</f>
        <v>#VALUE!</v>
      </c>
      <c r="V136" s="212"/>
      <c r="W136" s="213"/>
      <c r="X136" s="213"/>
      <c r="Y136" s="213"/>
      <c r="AA136" s="214"/>
      <c r="AB136" s="214"/>
      <c r="AC136" s="215"/>
      <c r="AD136" s="216"/>
      <c r="AE136" s="217"/>
      <c r="AF136" s="218"/>
      <c r="AG136" s="219"/>
      <c r="AH136" s="220"/>
      <c r="AI136" s="174"/>
      <c r="AJ136" s="171" t="e">
        <f aca="false">Y136-L136</f>
        <v>#VALUE!</v>
      </c>
      <c r="AL136" s="208" t="e">
        <f aca="false">VLOOKUP($C136,Curve_Fetch,2)+Cost_of_Funds</f>
        <v>#VALUE!</v>
      </c>
      <c r="AM136" s="210" t="e">
        <f aca="false">1/(1+AL136/2)^(2*(C136-Val_Date)/365.25)</f>
        <v>#VALUE!</v>
      </c>
      <c r="AO136" s="222" t="e">
        <f aca="false">$B136*$E136*$AM136</f>
        <v>#VALUE!</v>
      </c>
      <c r="AP136" s="222"/>
      <c r="AQ136" s="222" t="e">
        <f aca="false">H136*AO136</f>
        <v>#VALUE!</v>
      </c>
      <c r="AR136" s="222"/>
      <c r="AS136" s="174" t="e">
        <f aca="false">J136*$AO136</f>
        <v>#VALUE!</v>
      </c>
      <c r="AT136" s="174" t="e">
        <f aca="false">K136*$AO136</f>
        <v>#VALUE!</v>
      </c>
      <c r="AU136" s="174" t="e">
        <f aca="false">L136*$AO136</f>
        <v>#VALUE!</v>
      </c>
      <c r="AV136" s="174"/>
      <c r="AW136" s="174"/>
      <c r="AY136" s="220"/>
      <c r="AZ136" s="220"/>
      <c r="BA136" s="223"/>
      <c r="BC136" s="220"/>
      <c r="BE136" s="206"/>
    </row>
    <row r="137" customFormat="false" ht="12.75" hidden="false" customHeight="false" outlineLevel="0" collapsed="false">
      <c r="A137" s="167" t="e">
        <f aca="false">([1]!edate,A136,1)</f>
        <v>#VALUE!</v>
      </c>
      <c r="B137" s="201" t="e">
        <f aca="false">A138-A137</f>
        <v>#VALUE!</v>
      </c>
      <c r="C137" s="202" t="e">
        <f aca="false">IF(Control!$F$18="Physical",Model!A138+24,Model!A138)</f>
        <v>#VALUE!</v>
      </c>
      <c r="E137" s="203" t="e">
        <f aca="false">IF($A137&lt;End_Date,IF(Control!$C$20="Flat",Control!$C$21,VLOOKUP(Model!$A137,Euro!$B$29:$D$182,3)),0)</f>
        <v>#VALUE!</v>
      </c>
      <c r="F137" s="203" t="e">
        <f aca="false">E137*B137</f>
        <v>#VALUE!</v>
      </c>
      <c r="H137" s="204" t="e">
        <f aca="false">IF(Control!$C$27="Mid",VLOOKUP($A137,CurveFetch!$D$8:$F$367,3),VLOOKUP($A137,Euro!$B$29:$I$182,8))</f>
        <v>#VALUE!</v>
      </c>
      <c r="I137" s="204"/>
      <c r="J137" s="204" t="e">
        <f aca="false">IF($J$4="Mid",VLOOKUP($A137,Curve_Fetch,VLOOKUP(Control!$AJ$10,Control!$AI$11:$AK$22,3)),VLOOKUP($A137,Euro!$B$29:$M$182,12))</f>
        <v>#VALUE!</v>
      </c>
      <c r="K137" s="205" t="e">
        <f aca="false">IF(Control!$F$18="Physical",IF($K$4="Mid",VLOOKUP($A137,Curve_Fetch,VLOOKUP(Control!$AJ$10,Control!$AI$11:$AL$22,4)),VLOOKUP($A137,Euro!$B$29:$Q$182,16)),0)</f>
        <v>#VALUE!</v>
      </c>
      <c r="L137" s="204" t="e">
        <f aca="false">SUM(J137:K137)</f>
        <v>#VALUE!</v>
      </c>
      <c r="M137" s="204"/>
      <c r="N137" s="206" t="e">
        <f aca="false">L137+H137</f>
        <v>#VALUE!</v>
      </c>
      <c r="O137" s="206" t="e">
        <f aca="false">N137+Control!$C$39</f>
        <v>#VALUE!</v>
      </c>
      <c r="P137" s="207" t="e">
        <f aca="false">VLOOKUP($A137,CurveFetch!$D$8:$E$367,2)</f>
        <v>#VALUE!</v>
      </c>
      <c r="Q137" s="208" t="e">
        <f aca="false">P137</f>
        <v>#VALUE!</v>
      </c>
      <c r="R137" s="209" t="e">
        <f aca="true">A137-1-TODAY()</f>
        <v>#VALUE!</v>
      </c>
      <c r="S137" s="210" t="e">
        <f aca="false">VLOOKUP($A137,Curve_Fetch,VLOOKUP(Control!$AJ$10,Control!$AI$11:$AM$22,5))</f>
        <v>#VALUE!</v>
      </c>
      <c r="T137" s="211" t="e">
        <f aca="false">EURO(N137,O137,P137,Q137,S137,R137,IF(Control!$C$38="Call",1,0),0)</f>
        <v>#NAME?</v>
      </c>
      <c r="U137" s="174" t="e">
        <f aca="false">T137*B137*E137</f>
        <v>#VALUE!</v>
      </c>
      <c r="V137" s="212"/>
      <c r="W137" s="213"/>
      <c r="X137" s="213"/>
      <c r="Y137" s="213"/>
      <c r="AA137" s="214"/>
      <c r="AB137" s="214"/>
      <c r="AC137" s="215"/>
      <c r="AD137" s="216"/>
      <c r="AE137" s="217"/>
      <c r="AF137" s="218"/>
      <c r="AG137" s="219"/>
      <c r="AH137" s="220"/>
      <c r="AI137" s="174"/>
      <c r="AJ137" s="171" t="e">
        <f aca="false">Y137-L137</f>
        <v>#VALUE!</v>
      </c>
      <c r="AL137" s="208" t="e">
        <f aca="false">VLOOKUP($C137,Curve_Fetch,2)+Cost_of_Funds</f>
        <v>#VALUE!</v>
      </c>
      <c r="AM137" s="210" t="e">
        <f aca="false">1/(1+AL137/2)^(2*(C137-Val_Date)/365.25)</f>
        <v>#VALUE!</v>
      </c>
      <c r="AO137" s="222" t="e">
        <f aca="false">$B137*$E137*$AM137</f>
        <v>#VALUE!</v>
      </c>
      <c r="AP137" s="222"/>
      <c r="AQ137" s="222" t="e">
        <f aca="false">H137*AO137</f>
        <v>#VALUE!</v>
      </c>
      <c r="AR137" s="222"/>
      <c r="AS137" s="174" t="e">
        <f aca="false">J137*$AO137</f>
        <v>#VALUE!</v>
      </c>
      <c r="AT137" s="174" t="e">
        <f aca="false">K137*$AO137</f>
        <v>#VALUE!</v>
      </c>
      <c r="AU137" s="174" t="e">
        <f aca="false">L137*$AO137</f>
        <v>#VALUE!</v>
      </c>
      <c r="AV137" s="174"/>
      <c r="AW137" s="174"/>
      <c r="AY137" s="220"/>
      <c r="AZ137" s="220"/>
      <c r="BA137" s="223"/>
      <c r="BC137" s="220"/>
      <c r="BE137" s="206"/>
    </row>
    <row r="138" customFormat="false" ht="12.75" hidden="false" customHeight="false" outlineLevel="0" collapsed="false">
      <c r="A138" s="167" t="e">
        <f aca="false">([1]!edate,A137,1)</f>
        <v>#VALUE!</v>
      </c>
      <c r="B138" s="201" t="e">
        <f aca="false">A139-A138</f>
        <v>#VALUE!</v>
      </c>
      <c r="C138" s="202" t="e">
        <f aca="false">IF(Control!$F$18="Physical",Model!A139+24,Model!A139)</f>
        <v>#VALUE!</v>
      </c>
      <c r="E138" s="203" t="e">
        <f aca="false">IF($A138&lt;End_Date,IF(Control!$C$20="Flat",Control!$C$21,VLOOKUP(Model!$A138,Euro!$B$29:$D$182,3)),0)</f>
        <v>#VALUE!</v>
      </c>
      <c r="F138" s="203" t="e">
        <f aca="false">E138*B138</f>
        <v>#VALUE!</v>
      </c>
      <c r="H138" s="204" t="e">
        <f aca="false">IF(Control!$C$27="Mid",VLOOKUP($A138,CurveFetch!$D$8:$F$367,3),VLOOKUP($A138,Euro!$B$29:$I$182,8))</f>
        <v>#VALUE!</v>
      </c>
      <c r="I138" s="204"/>
      <c r="J138" s="204" t="e">
        <f aca="false">IF($J$4="Mid",VLOOKUP($A138,Curve_Fetch,VLOOKUP(Control!$AJ$10,Control!$AI$11:$AK$22,3)),VLOOKUP($A138,Euro!$B$29:$M$182,12))</f>
        <v>#VALUE!</v>
      </c>
      <c r="K138" s="205" t="e">
        <f aca="false">IF(Control!$F$18="Physical",IF($K$4="Mid",VLOOKUP($A138,Curve_Fetch,VLOOKUP(Control!$AJ$10,Control!$AI$11:$AL$22,4)),VLOOKUP($A138,Euro!$B$29:$Q$182,16)),0)</f>
        <v>#VALUE!</v>
      </c>
      <c r="L138" s="204" t="e">
        <f aca="false">SUM(J138:K138)</f>
        <v>#VALUE!</v>
      </c>
      <c r="M138" s="204"/>
      <c r="N138" s="206" t="e">
        <f aca="false">L138+H138</f>
        <v>#VALUE!</v>
      </c>
      <c r="O138" s="206" t="e">
        <f aca="false">N138+Control!$C$39</f>
        <v>#VALUE!</v>
      </c>
      <c r="P138" s="207" t="e">
        <f aca="false">VLOOKUP($A138,CurveFetch!$D$8:$E$367,2)</f>
        <v>#VALUE!</v>
      </c>
      <c r="Q138" s="208" t="e">
        <f aca="false">P138</f>
        <v>#VALUE!</v>
      </c>
      <c r="R138" s="209" t="e">
        <f aca="true">A138-1-TODAY()</f>
        <v>#VALUE!</v>
      </c>
      <c r="S138" s="210" t="e">
        <f aca="false">VLOOKUP($A138,Curve_Fetch,VLOOKUP(Control!$AJ$10,Control!$AI$11:$AM$22,5))</f>
        <v>#VALUE!</v>
      </c>
      <c r="T138" s="211" t="e">
        <f aca="false">EURO(N138,O138,P138,Q138,S138,R138,IF(Control!$C$38="Call",1,0),0)</f>
        <v>#NAME?</v>
      </c>
      <c r="U138" s="174" t="e">
        <f aca="false">T138*B138*E138</f>
        <v>#VALUE!</v>
      </c>
      <c r="V138" s="212"/>
      <c r="W138" s="213"/>
      <c r="X138" s="213"/>
      <c r="Y138" s="213"/>
      <c r="AA138" s="214"/>
      <c r="AB138" s="214"/>
      <c r="AC138" s="215"/>
      <c r="AD138" s="216"/>
      <c r="AE138" s="217"/>
      <c r="AF138" s="218"/>
      <c r="AG138" s="219"/>
      <c r="AH138" s="220"/>
      <c r="AI138" s="174"/>
      <c r="AJ138" s="171" t="e">
        <f aca="false">Y138-L138</f>
        <v>#VALUE!</v>
      </c>
      <c r="AL138" s="208" t="e">
        <f aca="false">VLOOKUP($C138,Curve_Fetch,2)+Cost_of_Funds</f>
        <v>#VALUE!</v>
      </c>
      <c r="AM138" s="210" t="e">
        <f aca="false">1/(1+AL138/2)^(2*(C138-Val_Date)/365.25)</f>
        <v>#VALUE!</v>
      </c>
      <c r="AO138" s="222" t="e">
        <f aca="false">$B138*$E138*$AM138</f>
        <v>#VALUE!</v>
      </c>
      <c r="AP138" s="222"/>
      <c r="AQ138" s="222" t="e">
        <f aca="false">H138*AO138</f>
        <v>#VALUE!</v>
      </c>
      <c r="AR138" s="222"/>
      <c r="AS138" s="174" t="e">
        <f aca="false">J138*$AO138</f>
        <v>#VALUE!</v>
      </c>
      <c r="AT138" s="174" t="e">
        <f aca="false">K138*$AO138</f>
        <v>#VALUE!</v>
      </c>
      <c r="AU138" s="174" t="e">
        <f aca="false">L138*$AO138</f>
        <v>#VALUE!</v>
      </c>
      <c r="AV138" s="174"/>
      <c r="AW138" s="174"/>
      <c r="AY138" s="220"/>
      <c r="AZ138" s="220"/>
      <c r="BA138" s="223"/>
      <c r="BC138" s="220"/>
      <c r="BE138" s="206"/>
    </row>
    <row r="139" customFormat="false" ht="12.75" hidden="false" customHeight="false" outlineLevel="0" collapsed="false">
      <c r="A139" s="167" t="e">
        <f aca="false">([1]!edate,A138,1)</f>
        <v>#VALUE!</v>
      </c>
      <c r="B139" s="201" t="e">
        <f aca="false">A140-A139</f>
        <v>#VALUE!</v>
      </c>
      <c r="C139" s="202" t="e">
        <f aca="false">IF(Control!$F$18="Physical",Model!A140+24,Model!A140)</f>
        <v>#VALUE!</v>
      </c>
      <c r="E139" s="203" t="e">
        <f aca="false">IF($A139&lt;End_Date,IF(Control!$C$20="Flat",Control!$C$21,VLOOKUP(Model!$A139,Euro!$B$29:$D$182,3)),0)</f>
        <v>#VALUE!</v>
      </c>
      <c r="F139" s="203" t="e">
        <f aca="false">E139*B139</f>
        <v>#VALUE!</v>
      </c>
      <c r="H139" s="204" t="e">
        <f aca="false">IF(Control!$C$27="Mid",VLOOKUP($A139,CurveFetch!$D$8:$F$367,3),VLOOKUP($A139,Euro!$B$29:$I$182,8))</f>
        <v>#VALUE!</v>
      </c>
      <c r="I139" s="204"/>
      <c r="J139" s="204" t="e">
        <f aca="false">IF($J$4="Mid",VLOOKUP($A139,Curve_Fetch,VLOOKUP(Control!$AJ$10,Control!$AI$11:$AK$22,3)),VLOOKUP($A139,Euro!$B$29:$M$182,12))</f>
        <v>#VALUE!</v>
      </c>
      <c r="K139" s="205" t="e">
        <f aca="false">IF(Control!$F$18="Physical",IF($K$4="Mid",VLOOKUP($A139,Curve_Fetch,VLOOKUP(Control!$AJ$10,Control!$AI$11:$AL$22,4)),VLOOKUP($A139,Euro!$B$29:$Q$182,16)),0)</f>
        <v>#VALUE!</v>
      </c>
      <c r="L139" s="204" t="e">
        <f aca="false">SUM(J139:K139)</f>
        <v>#VALUE!</v>
      </c>
      <c r="M139" s="204"/>
      <c r="N139" s="206" t="e">
        <f aca="false">L139+H139</f>
        <v>#VALUE!</v>
      </c>
      <c r="O139" s="206" t="e">
        <f aca="false">N139+Control!$C$39</f>
        <v>#VALUE!</v>
      </c>
      <c r="P139" s="207" t="e">
        <f aca="false">VLOOKUP($A139,CurveFetch!$D$8:$E$367,2)</f>
        <v>#VALUE!</v>
      </c>
      <c r="Q139" s="208" t="e">
        <f aca="false">P139</f>
        <v>#VALUE!</v>
      </c>
      <c r="R139" s="209" t="e">
        <f aca="true">A139-1-TODAY()</f>
        <v>#VALUE!</v>
      </c>
      <c r="S139" s="210" t="e">
        <f aca="false">VLOOKUP($A139,Curve_Fetch,VLOOKUP(Control!$AJ$10,Control!$AI$11:$AM$22,5))</f>
        <v>#VALUE!</v>
      </c>
      <c r="T139" s="211" t="e">
        <f aca="false">EURO(N139,O139,P139,Q139,S139,R139,IF(Control!$C$38="Call",1,0),0)</f>
        <v>#NAME?</v>
      </c>
      <c r="U139" s="174" t="e">
        <f aca="false">T139*B139*E139</f>
        <v>#VALUE!</v>
      </c>
      <c r="V139" s="212"/>
      <c r="W139" s="213"/>
      <c r="X139" s="213"/>
      <c r="Y139" s="213"/>
      <c r="AA139" s="214"/>
      <c r="AB139" s="214"/>
      <c r="AC139" s="215"/>
      <c r="AD139" s="216"/>
      <c r="AE139" s="217"/>
      <c r="AF139" s="218"/>
      <c r="AG139" s="219"/>
      <c r="AH139" s="220"/>
      <c r="AI139" s="174"/>
      <c r="AJ139" s="171" t="e">
        <f aca="false">Y139-L139</f>
        <v>#VALUE!</v>
      </c>
      <c r="AL139" s="208" t="e">
        <f aca="false">VLOOKUP($C139,Curve_Fetch,2)+Cost_of_Funds</f>
        <v>#VALUE!</v>
      </c>
      <c r="AM139" s="210" t="e">
        <f aca="false">1/(1+AL139/2)^(2*(C139-Val_Date)/365.25)</f>
        <v>#VALUE!</v>
      </c>
      <c r="AO139" s="222" t="e">
        <f aca="false">$B139*$E139*$AM139</f>
        <v>#VALUE!</v>
      </c>
      <c r="AP139" s="222"/>
      <c r="AQ139" s="222" t="e">
        <f aca="false">H139*AO139</f>
        <v>#VALUE!</v>
      </c>
      <c r="AR139" s="222"/>
      <c r="AS139" s="174" t="e">
        <f aca="false">J139*$AO139</f>
        <v>#VALUE!</v>
      </c>
      <c r="AT139" s="174" t="e">
        <f aca="false">K139*$AO139</f>
        <v>#VALUE!</v>
      </c>
      <c r="AU139" s="174" t="e">
        <f aca="false">L139*$AO139</f>
        <v>#VALUE!</v>
      </c>
      <c r="AV139" s="174"/>
      <c r="AW139" s="174"/>
      <c r="AY139" s="220"/>
      <c r="AZ139" s="220"/>
      <c r="BA139" s="223"/>
      <c r="BC139" s="220"/>
      <c r="BE139" s="206"/>
    </row>
    <row r="140" customFormat="false" ht="12.75" hidden="false" customHeight="false" outlineLevel="0" collapsed="false">
      <c r="A140" s="167" t="e">
        <f aca="false">([1]!edate,A139,1)</f>
        <v>#VALUE!</v>
      </c>
      <c r="B140" s="201" t="e">
        <f aca="false">A141-A140</f>
        <v>#VALUE!</v>
      </c>
      <c r="C140" s="202" t="e">
        <f aca="false">IF(Control!$F$18="Physical",Model!A141+24,Model!A141)</f>
        <v>#VALUE!</v>
      </c>
      <c r="E140" s="203" t="e">
        <f aca="false">IF($A140&lt;End_Date,IF(Control!$C$20="Flat",Control!$C$21,VLOOKUP(Model!$A140,Euro!$B$29:$D$182,3)),0)</f>
        <v>#VALUE!</v>
      </c>
      <c r="F140" s="203" t="e">
        <f aca="false">E140*B140</f>
        <v>#VALUE!</v>
      </c>
      <c r="H140" s="204" t="e">
        <f aca="false">IF(Control!$C$27="Mid",VLOOKUP($A140,CurveFetch!$D$8:$F$367,3),VLOOKUP($A140,Euro!$B$29:$I$182,8))</f>
        <v>#VALUE!</v>
      </c>
      <c r="I140" s="204"/>
      <c r="J140" s="204" t="e">
        <f aca="false">IF($J$4="Mid",VLOOKUP($A140,Curve_Fetch,VLOOKUP(Control!$AJ$10,Control!$AI$11:$AK$22,3)),VLOOKUP($A140,Euro!$B$29:$M$182,12))</f>
        <v>#VALUE!</v>
      </c>
      <c r="K140" s="205" t="e">
        <f aca="false">IF(Control!$F$18="Physical",IF($K$4="Mid",VLOOKUP($A140,Curve_Fetch,VLOOKUP(Control!$AJ$10,Control!$AI$11:$AL$22,4)),VLOOKUP($A140,Euro!$B$29:$Q$182,16)),0)</f>
        <v>#VALUE!</v>
      </c>
      <c r="L140" s="204" t="e">
        <f aca="false">SUM(J140:K140)</f>
        <v>#VALUE!</v>
      </c>
      <c r="M140" s="204"/>
      <c r="N140" s="206" t="e">
        <f aca="false">L140+H140</f>
        <v>#VALUE!</v>
      </c>
      <c r="O140" s="206" t="e">
        <f aca="false">N140+Control!$C$39</f>
        <v>#VALUE!</v>
      </c>
      <c r="P140" s="207" t="e">
        <f aca="false">VLOOKUP($A140,CurveFetch!$D$8:$E$367,2)</f>
        <v>#VALUE!</v>
      </c>
      <c r="Q140" s="208" t="e">
        <f aca="false">P140</f>
        <v>#VALUE!</v>
      </c>
      <c r="R140" s="209" t="e">
        <f aca="true">A140-1-TODAY()</f>
        <v>#VALUE!</v>
      </c>
      <c r="S140" s="210" t="e">
        <f aca="false">VLOOKUP($A140,Curve_Fetch,VLOOKUP(Control!$AJ$10,Control!$AI$11:$AM$22,5))</f>
        <v>#VALUE!</v>
      </c>
      <c r="T140" s="211" t="e">
        <f aca="false">EURO(N140,O140,P140,Q140,S140,R140,IF(Control!$C$38="Call",1,0),0)</f>
        <v>#NAME?</v>
      </c>
      <c r="U140" s="174" t="e">
        <f aca="false">T140*B140*E140</f>
        <v>#VALUE!</v>
      </c>
      <c r="V140" s="212"/>
      <c r="W140" s="213"/>
      <c r="X140" s="213"/>
      <c r="Y140" s="213"/>
      <c r="AA140" s="214"/>
      <c r="AB140" s="214"/>
      <c r="AC140" s="215"/>
      <c r="AD140" s="216"/>
      <c r="AE140" s="217"/>
      <c r="AF140" s="218"/>
      <c r="AG140" s="219"/>
      <c r="AH140" s="220"/>
      <c r="AI140" s="174"/>
      <c r="AJ140" s="171" t="e">
        <f aca="false">Y140-L140</f>
        <v>#VALUE!</v>
      </c>
      <c r="AL140" s="208" t="e">
        <f aca="false">VLOOKUP($C140,Curve_Fetch,2)+Cost_of_Funds</f>
        <v>#VALUE!</v>
      </c>
      <c r="AM140" s="210" t="e">
        <f aca="false">1/(1+AL140/2)^(2*(C140-Val_Date)/365.25)</f>
        <v>#VALUE!</v>
      </c>
      <c r="AO140" s="222" t="e">
        <f aca="false">$B140*$E140*$AM140</f>
        <v>#VALUE!</v>
      </c>
      <c r="AP140" s="222"/>
      <c r="AQ140" s="222" t="e">
        <f aca="false">H140*AO140</f>
        <v>#VALUE!</v>
      </c>
      <c r="AR140" s="222"/>
      <c r="AS140" s="174" t="e">
        <f aca="false">J140*$AO140</f>
        <v>#VALUE!</v>
      </c>
      <c r="AT140" s="174" t="e">
        <f aca="false">K140*$AO140</f>
        <v>#VALUE!</v>
      </c>
      <c r="AU140" s="174" t="e">
        <f aca="false">L140*$AO140</f>
        <v>#VALUE!</v>
      </c>
      <c r="AV140" s="174"/>
      <c r="AW140" s="174"/>
      <c r="AY140" s="220"/>
      <c r="AZ140" s="220"/>
      <c r="BA140" s="223"/>
      <c r="BC140" s="220"/>
      <c r="BE140" s="206"/>
    </row>
    <row r="141" customFormat="false" ht="12.75" hidden="false" customHeight="false" outlineLevel="0" collapsed="false">
      <c r="A141" s="167" t="e">
        <f aca="false">([1]!edate,A140,1)</f>
        <v>#VALUE!</v>
      </c>
      <c r="B141" s="201" t="e">
        <f aca="false">A142-A141</f>
        <v>#VALUE!</v>
      </c>
      <c r="C141" s="202" t="e">
        <f aca="false">IF(Control!$F$18="Physical",Model!A142+24,Model!A142)</f>
        <v>#VALUE!</v>
      </c>
      <c r="E141" s="203" t="e">
        <f aca="false">IF($A141&lt;End_Date,IF(Control!$C$20="Flat",Control!$C$21,VLOOKUP(Model!$A141,Euro!$B$29:$D$182,3)),0)</f>
        <v>#VALUE!</v>
      </c>
      <c r="F141" s="203" t="e">
        <f aca="false">E141*B141</f>
        <v>#VALUE!</v>
      </c>
      <c r="H141" s="204" t="e">
        <f aca="false">IF(Control!$C$27="Mid",VLOOKUP($A141,CurveFetch!$D$8:$F$367,3),VLOOKUP($A141,Euro!$B$29:$I$182,8))</f>
        <v>#VALUE!</v>
      </c>
      <c r="I141" s="204"/>
      <c r="J141" s="204" t="e">
        <f aca="false">IF($J$4="Mid",VLOOKUP($A141,Curve_Fetch,VLOOKUP(Control!$AJ$10,Control!$AI$11:$AK$22,3)),VLOOKUP($A141,Euro!$B$29:$M$182,12))</f>
        <v>#VALUE!</v>
      </c>
      <c r="K141" s="205" t="e">
        <f aca="false">IF(Control!$F$18="Physical",IF($K$4="Mid",VLOOKUP($A141,Curve_Fetch,VLOOKUP(Control!$AJ$10,Control!$AI$11:$AL$22,4)),VLOOKUP($A141,Euro!$B$29:$Q$182,16)),0)</f>
        <v>#VALUE!</v>
      </c>
      <c r="L141" s="204" t="e">
        <f aca="false">SUM(J141:K141)</f>
        <v>#VALUE!</v>
      </c>
      <c r="M141" s="204"/>
      <c r="N141" s="206" t="e">
        <f aca="false">L141+H141</f>
        <v>#VALUE!</v>
      </c>
      <c r="O141" s="206" t="e">
        <f aca="false">N141+Control!$C$39</f>
        <v>#VALUE!</v>
      </c>
      <c r="P141" s="207" t="e">
        <f aca="false">VLOOKUP($A141,CurveFetch!$D$8:$E$367,2)</f>
        <v>#VALUE!</v>
      </c>
      <c r="Q141" s="208" t="e">
        <f aca="false">P141</f>
        <v>#VALUE!</v>
      </c>
      <c r="R141" s="209" t="e">
        <f aca="true">A141-1-TODAY()</f>
        <v>#VALUE!</v>
      </c>
      <c r="S141" s="210" t="e">
        <f aca="false">VLOOKUP($A141,Curve_Fetch,VLOOKUP(Control!$AJ$10,Control!$AI$11:$AM$22,5))</f>
        <v>#VALUE!</v>
      </c>
      <c r="T141" s="211" t="e">
        <f aca="false">EURO(N141,O141,P141,Q141,S141,R141,IF(Control!$C$38="Call",1,0),0)</f>
        <v>#NAME?</v>
      </c>
      <c r="U141" s="174" t="e">
        <f aca="false">T141*B141*E141</f>
        <v>#VALUE!</v>
      </c>
      <c r="V141" s="212"/>
      <c r="W141" s="213"/>
      <c r="X141" s="213"/>
      <c r="Y141" s="213"/>
      <c r="AA141" s="214"/>
      <c r="AB141" s="214"/>
      <c r="AC141" s="215"/>
      <c r="AD141" s="216"/>
      <c r="AE141" s="217"/>
      <c r="AF141" s="218"/>
      <c r="AG141" s="219"/>
      <c r="AH141" s="220"/>
      <c r="AI141" s="174"/>
      <c r="AJ141" s="171" t="e">
        <f aca="false">Y141-L141</f>
        <v>#VALUE!</v>
      </c>
      <c r="AL141" s="208" t="e">
        <f aca="false">VLOOKUP($C141,Curve_Fetch,2)+Cost_of_Funds</f>
        <v>#VALUE!</v>
      </c>
      <c r="AM141" s="210" t="e">
        <f aca="false">1/(1+AL141/2)^(2*(C141-Val_Date)/365.25)</f>
        <v>#VALUE!</v>
      </c>
      <c r="AO141" s="222" t="e">
        <f aca="false">$B141*$E141*$AM141</f>
        <v>#VALUE!</v>
      </c>
      <c r="AP141" s="222"/>
      <c r="AQ141" s="222" t="e">
        <f aca="false">H141*AO141</f>
        <v>#VALUE!</v>
      </c>
      <c r="AR141" s="222"/>
      <c r="AS141" s="174" t="e">
        <f aca="false">J141*$AO141</f>
        <v>#VALUE!</v>
      </c>
      <c r="AT141" s="174" t="e">
        <f aca="false">K141*$AO141</f>
        <v>#VALUE!</v>
      </c>
      <c r="AU141" s="174" t="e">
        <f aca="false">L141*$AO141</f>
        <v>#VALUE!</v>
      </c>
      <c r="AV141" s="174"/>
      <c r="AW141" s="174"/>
      <c r="AY141" s="220"/>
      <c r="AZ141" s="220"/>
      <c r="BA141" s="223"/>
      <c r="BC141" s="220"/>
      <c r="BE141" s="206"/>
    </row>
    <row r="142" customFormat="false" ht="12.75" hidden="false" customHeight="false" outlineLevel="0" collapsed="false">
      <c r="A142" s="167" t="e">
        <f aca="false">([1]!edate,A141,1)</f>
        <v>#VALUE!</v>
      </c>
      <c r="B142" s="201" t="e">
        <f aca="false">A143-A142</f>
        <v>#VALUE!</v>
      </c>
      <c r="C142" s="202" t="e">
        <f aca="false">IF(Control!$F$18="Physical",Model!A143+24,Model!A143)</f>
        <v>#VALUE!</v>
      </c>
      <c r="E142" s="203" t="e">
        <f aca="false">IF($A142&lt;End_Date,IF(Control!$C$20="Flat",Control!$C$21,VLOOKUP(Model!$A142,Euro!$B$29:$D$182,3)),0)</f>
        <v>#VALUE!</v>
      </c>
      <c r="F142" s="203" t="e">
        <f aca="false">E142*B142</f>
        <v>#VALUE!</v>
      </c>
      <c r="H142" s="204" t="e">
        <f aca="false">IF(Control!$C$27="Mid",VLOOKUP($A142,CurveFetch!$D$8:$F$367,3),VLOOKUP($A142,Euro!$B$29:$I$182,8))</f>
        <v>#VALUE!</v>
      </c>
      <c r="I142" s="204"/>
      <c r="J142" s="204" t="e">
        <f aca="false">IF($J$4="Mid",VLOOKUP($A142,Curve_Fetch,VLOOKUP(Control!$AJ$10,Control!$AI$11:$AK$22,3)),VLOOKUP($A142,Euro!$B$29:$M$182,12))</f>
        <v>#VALUE!</v>
      </c>
      <c r="K142" s="205" t="e">
        <f aca="false">IF(Control!$F$18="Physical",IF($K$4="Mid",VLOOKUP($A142,Curve_Fetch,VLOOKUP(Control!$AJ$10,Control!$AI$11:$AL$22,4)),VLOOKUP($A142,Euro!$B$29:$Q$182,16)),0)</f>
        <v>#VALUE!</v>
      </c>
      <c r="L142" s="204" t="e">
        <f aca="false">SUM(J142:K142)</f>
        <v>#VALUE!</v>
      </c>
      <c r="M142" s="204"/>
      <c r="N142" s="206" t="e">
        <f aca="false">L142+H142</f>
        <v>#VALUE!</v>
      </c>
      <c r="O142" s="206" t="e">
        <f aca="false">N142+Control!$C$39</f>
        <v>#VALUE!</v>
      </c>
      <c r="P142" s="207" t="e">
        <f aca="false">VLOOKUP($A142,CurveFetch!$D$8:$E$367,2)</f>
        <v>#VALUE!</v>
      </c>
      <c r="Q142" s="208" t="e">
        <f aca="false">P142</f>
        <v>#VALUE!</v>
      </c>
      <c r="R142" s="209" t="e">
        <f aca="true">A142-1-TODAY()</f>
        <v>#VALUE!</v>
      </c>
      <c r="S142" s="210" t="e">
        <f aca="false">VLOOKUP($A142,Curve_Fetch,VLOOKUP(Control!$AJ$10,Control!$AI$11:$AM$22,5))</f>
        <v>#VALUE!</v>
      </c>
      <c r="T142" s="211" t="e">
        <f aca="false">EURO(N142,O142,P142,Q142,S142,R142,IF(Control!$C$38="Call",1,0),0)</f>
        <v>#NAME?</v>
      </c>
      <c r="U142" s="174" t="e">
        <f aca="false">T142*B142*E142</f>
        <v>#VALUE!</v>
      </c>
      <c r="V142" s="212"/>
      <c r="W142" s="213"/>
      <c r="X142" s="213"/>
      <c r="Y142" s="213"/>
      <c r="AA142" s="214"/>
      <c r="AB142" s="214"/>
      <c r="AC142" s="215"/>
      <c r="AD142" s="216"/>
      <c r="AE142" s="217"/>
      <c r="AF142" s="218"/>
      <c r="AG142" s="219"/>
      <c r="AH142" s="220"/>
      <c r="AI142" s="174"/>
      <c r="AJ142" s="171" t="e">
        <f aca="false">Y142-L142</f>
        <v>#VALUE!</v>
      </c>
      <c r="AL142" s="208" t="e">
        <f aca="false">VLOOKUP($C142,Curve_Fetch,2)+Cost_of_Funds</f>
        <v>#VALUE!</v>
      </c>
      <c r="AM142" s="210" t="e">
        <f aca="false">1/(1+AL142/2)^(2*(C142-Val_Date)/365.25)</f>
        <v>#VALUE!</v>
      </c>
      <c r="AO142" s="222" t="e">
        <f aca="false">$B142*$E142*$AM142</f>
        <v>#VALUE!</v>
      </c>
      <c r="AP142" s="222"/>
      <c r="AQ142" s="222" t="e">
        <f aca="false">H142*AO142</f>
        <v>#VALUE!</v>
      </c>
      <c r="AR142" s="222"/>
      <c r="AS142" s="174" t="e">
        <f aca="false">J142*$AO142</f>
        <v>#VALUE!</v>
      </c>
      <c r="AT142" s="174" t="e">
        <f aca="false">K142*$AO142</f>
        <v>#VALUE!</v>
      </c>
      <c r="AU142" s="174" t="e">
        <f aca="false">L142*$AO142</f>
        <v>#VALUE!</v>
      </c>
      <c r="AV142" s="174"/>
      <c r="AW142" s="174"/>
      <c r="AY142" s="220"/>
      <c r="AZ142" s="220"/>
      <c r="BA142" s="223"/>
      <c r="BC142" s="220"/>
      <c r="BE142" s="206"/>
    </row>
    <row r="143" customFormat="false" ht="12.75" hidden="false" customHeight="false" outlineLevel="0" collapsed="false">
      <c r="A143" s="167" t="e">
        <f aca="false">([1]!edate,A142,1)</f>
        <v>#VALUE!</v>
      </c>
      <c r="B143" s="201" t="e">
        <f aca="false">A144-A143</f>
        <v>#VALUE!</v>
      </c>
      <c r="C143" s="202" t="e">
        <f aca="false">IF(Control!$F$18="Physical",Model!A144+24,Model!A144)</f>
        <v>#VALUE!</v>
      </c>
      <c r="E143" s="203" t="e">
        <f aca="false">IF($A143&lt;End_Date,IF(Control!$C$20="Flat",Control!$C$21,VLOOKUP(Model!$A143,Euro!$B$29:$D$182,3)),0)</f>
        <v>#VALUE!</v>
      </c>
      <c r="F143" s="203" t="e">
        <f aca="false">E143*B143</f>
        <v>#VALUE!</v>
      </c>
      <c r="H143" s="204" t="e">
        <f aca="false">IF(Control!$C$27="Mid",VLOOKUP($A143,CurveFetch!$D$8:$F$367,3),VLOOKUP($A143,Euro!$B$29:$I$182,8))</f>
        <v>#VALUE!</v>
      </c>
      <c r="I143" s="204"/>
      <c r="J143" s="204" t="e">
        <f aca="false">IF($J$4="Mid",VLOOKUP($A143,Curve_Fetch,VLOOKUP(Control!$AJ$10,Control!$AI$11:$AK$22,3)),VLOOKUP($A143,Euro!$B$29:$M$182,12))</f>
        <v>#VALUE!</v>
      </c>
      <c r="K143" s="205" t="e">
        <f aca="false">IF(Control!$F$18="Physical",IF($K$4="Mid",VLOOKUP($A143,Curve_Fetch,VLOOKUP(Control!$AJ$10,Control!$AI$11:$AL$22,4)),VLOOKUP($A143,Euro!$B$29:$Q$182,16)),0)</f>
        <v>#VALUE!</v>
      </c>
      <c r="L143" s="204" t="e">
        <f aca="false">SUM(J143:K143)</f>
        <v>#VALUE!</v>
      </c>
      <c r="M143" s="204"/>
      <c r="N143" s="206" t="e">
        <f aca="false">L143+H143</f>
        <v>#VALUE!</v>
      </c>
      <c r="O143" s="206" t="e">
        <f aca="false">N143+Control!$C$39</f>
        <v>#VALUE!</v>
      </c>
      <c r="P143" s="207" t="e">
        <f aca="false">VLOOKUP($A143,CurveFetch!$D$8:$E$367,2)</f>
        <v>#VALUE!</v>
      </c>
      <c r="Q143" s="208" t="e">
        <f aca="false">P143</f>
        <v>#VALUE!</v>
      </c>
      <c r="R143" s="209" t="e">
        <f aca="true">A143-1-TODAY()</f>
        <v>#VALUE!</v>
      </c>
      <c r="S143" s="210" t="e">
        <f aca="false">VLOOKUP($A143,Curve_Fetch,VLOOKUP(Control!$AJ$10,Control!$AI$11:$AM$22,5))</f>
        <v>#VALUE!</v>
      </c>
      <c r="T143" s="211" t="e">
        <f aca="false">EURO(N143,O143,P143,Q143,S143,R143,IF(Control!$C$38="Call",1,0),0)</f>
        <v>#NAME?</v>
      </c>
      <c r="U143" s="174" t="e">
        <f aca="false">T143*B143*E143</f>
        <v>#VALUE!</v>
      </c>
      <c r="V143" s="212"/>
      <c r="W143" s="213"/>
      <c r="X143" s="213"/>
      <c r="Y143" s="213"/>
      <c r="AA143" s="214"/>
      <c r="AB143" s="214"/>
      <c r="AC143" s="215"/>
      <c r="AD143" s="216"/>
      <c r="AE143" s="217"/>
      <c r="AF143" s="218"/>
      <c r="AG143" s="219"/>
      <c r="AH143" s="220"/>
      <c r="AI143" s="174"/>
      <c r="AJ143" s="171" t="e">
        <f aca="false">Y143-L143</f>
        <v>#VALUE!</v>
      </c>
      <c r="AL143" s="208" t="e">
        <f aca="false">VLOOKUP($C143,Curve_Fetch,2)+Cost_of_Funds</f>
        <v>#VALUE!</v>
      </c>
      <c r="AM143" s="210" t="e">
        <f aca="false">1/(1+AL143/2)^(2*(C143-Val_Date)/365.25)</f>
        <v>#VALUE!</v>
      </c>
      <c r="AO143" s="222" t="e">
        <f aca="false">$B143*$E143*$AM143</f>
        <v>#VALUE!</v>
      </c>
      <c r="AP143" s="222"/>
      <c r="AQ143" s="222" t="e">
        <f aca="false">H143*AO143</f>
        <v>#VALUE!</v>
      </c>
      <c r="AR143" s="222"/>
      <c r="AS143" s="174" t="e">
        <f aca="false">J143*$AO143</f>
        <v>#VALUE!</v>
      </c>
      <c r="AT143" s="174" t="e">
        <f aca="false">K143*$AO143</f>
        <v>#VALUE!</v>
      </c>
      <c r="AU143" s="174" t="e">
        <f aca="false">L143*$AO143</f>
        <v>#VALUE!</v>
      </c>
      <c r="AV143" s="174"/>
      <c r="AW143" s="174"/>
      <c r="AY143" s="220"/>
      <c r="AZ143" s="220"/>
      <c r="BA143" s="223"/>
      <c r="BC143" s="220"/>
      <c r="BE143" s="206"/>
    </row>
    <row r="144" customFormat="false" ht="12.75" hidden="false" customHeight="false" outlineLevel="0" collapsed="false">
      <c r="A144" s="167" t="e">
        <f aca="false">([1]!edate,A143,1)</f>
        <v>#VALUE!</v>
      </c>
      <c r="B144" s="201" t="e">
        <f aca="false">A145-A144</f>
        <v>#VALUE!</v>
      </c>
      <c r="C144" s="202" t="e">
        <f aca="false">IF(Control!$F$18="Physical",Model!A145+24,Model!A145)</f>
        <v>#VALUE!</v>
      </c>
      <c r="E144" s="203" t="e">
        <f aca="false">IF($A144&lt;End_Date,IF(Control!$C$20="Flat",Control!$C$21,VLOOKUP(Model!$A144,Euro!$B$29:$D$182,3)),0)</f>
        <v>#VALUE!</v>
      </c>
      <c r="F144" s="203" t="e">
        <f aca="false">E144*B144</f>
        <v>#VALUE!</v>
      </c>
      <c r="H144" s="204" t="e">
        <f aca="false">IF(Control!$C$27="Mid",VLOOKUP($A144,CurveFetch!$D$8:$F$367,3),VLOOKUP($A144,Euro!$B$29:$I$182,8))</f>
        <v>#VALUE!</v>
      </c>
      <c r="I144" s="204"/>
      <c r="J144" s="204" t="e">
        <f aca="false">IF($J$4="Mid",VLOOKUP($A144,Curve_Fetch,VLOOKUP(Control!$AJ$10,Control!$AI$11:$AK$22,3)),VLOOKUP($A144,Euro!$B$29:$M$182,12))</f>
        <v>#VALUE!</v>
      </c>
      <c r="K144" s="205" t="e">
        <f aca="false">IF(Control!$F$18="Physical",IF($K$4="Mid",VLOOKUP($A144,Curve_Fetch,VLOOKUP(Control!$AJ$10,Control!$AI$11:$AL$22,4)),VLOOKUP($A144,Euro!$B$29:$Q$182,16)),0)</f>
        <v>#VALUE!</v>
      </c>
      <c r="L144" s="204" t="e">
        <f aca="false">SUM(J144:K144)</f>
        <v>#VALUE!</v>
      </c>
      <c r="M144" s="204"/>
      <c r="N144" s="206" t="e">
        <f aca="false">L144+H144</f>
        <v>#VALUE!</v>
      </c>
      <c r="O144" s="206" t="e">
        <f aca="false">N144+Control!$C$39</f>
        <v>#VALUE!</v>
      </c>
      <c r="P144" s="207" t="e">
        <f aca="false">VLOOKUP($A144,CurveFetch!$D$8:$E$367,2)</f>
        <v>#VALUE!</v>
      </c>
      <c r="Q144" s="208" t="e">
        <f aca="false">P144</f>
        <v>#VALUE!</v>
      </c>
      <c r="R144" s="209" t="e">
        <f aca="true">A144-1-TODAY()</f>
        <v>#VALUE!</v>
      </c>
      <c r="S144" s="210" t="e">
        <f aca="false">VLOOKUP($A144,Curve_Fetch,VLOOKUP(Control!$AJ$10,Control!$AI$11:$AM$22,5))</f>
        <v>#VALUE!</v>
      </c>
      <c r="T144" s="211" t="e">
        <f aca="false">EURO(N144,O144,P144,Q144,S144,R144,IF(Control!$C$38="Call",1,0),0)</f>
        <v>#NAME?</v>
      </c>
      <c r="U144" s="174" t="e">
        <f aca="false">T144*B144*E144</f>
        <v>#VALUE!</v>
      </c>
      <c r="V144" s="212"/>
      <c r="W144" s="213"/>
      <c r="X144" s="213"/>
      <c r="Y144" s="213"/>
      <c r="AA144" s="214"/>
      <c r="AB144" s="214"/>
      <c r="AC144" s="215"/>
      <c r="AD144" s="216"/>
      <c r="AE144" s="217"/>
      <c r="AF144" s="218"/>
      <c r="AG144" s="219"/>
      <c r="AH144" s="220"/>
      <c r="AI144" s="174"/>
      <c r="AJ144" s="171" t="e">
        <f aca="false">Y144-L144</f>
        <v>#VALUE!</v>
      </c>
      <c r="AL144" s="208" t="e">
        <f aca="false">VLOOKUP($C144,Curve_Fetch,2)+Cost_of_Funds</f>
        <v>#VALUE!</v>
      </c>
      <c r="AM144" s="210" t="e">
        <f aca="false">1/(1+AL144/2)^(2*(C144-Val_Date)/365.25)</f>
        <v>#VALUE!</v>
      </c>
      <c r="AO144" s="222" t="e">
        <f aca="false">$B144*$E144*$AM144</f>
        <v>#VALUE!</v>
      </c>
      <c r="AP144" s="222"/>
      <c r="AQ144" s="222" t="e">
        <f aca="false">H144*AO144</f>
        <v>#VALUE!</v>
      </c>
      <c r="AR144" s="222"/>
      <c r="AS144" s="174" t="e">
        <f aca="false">J144*$AO144</f>
        <v>#VALUE!</v>
      </c>
      <c r="AT144" s="174" t="e">
        <f aca="false">K144*$AO144</f>
        <v>#VALUE!</v>
      </c>
      <c r="AU144" s="174" t="e">
        <f aca="false">L144*$AO144</f>
        <v>#VALUE!</v>
      </c>
      <c r="AV144" s="174"/>
      <c r="AW144" s="174"/>
      <c r="AY144" s="220"/>
      <c r="AZ144" s="220"/>
      <c r="BA144" s="223"/>
      <c r="BC144" s="220"/>
      <c r="BE144" s="206"/>
    </row>
    <row r="145" customFormat="false" ht="12.75" hidden="false" customHeight="false" outlineLevel="0" collapsed="false">
      <c r="A145" s="167" t="e">
        <f aca="false">([1]!edate,A144,1)</f>
        <v>#VALUE!</v>
      </c>
      <c r="B145" s="201" t="e">
        <f aca="false">A146-A145</f>
        <v>#VALUE!</v>
      </c>
      <c r="C145" s="202" t="e">
        <f aca="false">IF(Control!$F$18="Physical",Model!A146+24,Model!A146)</f>
        <v>#VALUE!</v>
      </c>
      <c r="E145" s="203" t="e">
        <f aca="false">IF($A145&lt;End_Date,IF(Control!$C$20="Flat",Control!$C$21,VLOOKUP(Model!$A145,Euro!$B$29:$D$182,3)),0)</f>
        <v>#VALUE!</v>
      </c>
      <c r="F145" s="203" t="e">
        <f aca="false">E145*B145</f>
        <v>#VALUE!</v>
      </c>
      <c r="H145" s="204" t="e">
        <f aca="false">IF(Control!$C$27="Mid",VLOOKUP($A145,CurveFetch!$D$8:$F$367,3),VLOOKUP($A145,Euro!$B$29:$I$182,8))</f>
        <v>#VALUE!</v>
      </c>
      <c r="I145" s="204"/>
      <c r="J145" s="204" t="e">
        <f aca="false">IF($J$4="Mid",VLOOKUP($A145,Curve_Fetch,VLOOKUP(Control!$AJ$10,Control!$AI$11:$AK$22,3)),VLOOKUP($A145,Euro!$B$29:$M$182,12))</f>
        <v>#VALUE!</v>
      </c>
      <c r="K145" s="205" t="e">
        <f aca="false">IF(Control!$F$18="Physical",IF($K$4="Mid",VLOOKUP($A145,Curve_Fetch,VLOOKUP(Control!$AJ$10,Control!$AI$11:$AL$22,4)),VLOOKUP($A145,Euro!$B$29:$Q$182,16)),0)</f>
        <v>#VALUE!</v>
      </c>
      <c r="L145" s="204" t="e">
        <f aca="false">SUM(J145:K145)</f>
        <v>#VALUE!</v>
      </c>
      <c r="M145" s="204"/>
      <c r="N145" s="206" t="e">
        <f aca="false">L145+H145</f>
        <v>#VALUE!</v>
      </c>
      <c r="O145" s="206" t="e">
        <f aca="false">N145+Control!$C$39</f>
        <v>#VALUE!</v>
      </c>
      <c r="P145" s="207" t="e">
        <f aca="false">VLOOKUP($A145,CurveFetch!$D$8:$E$367,2)</f>
        <v>#VALUE!</v>
      </c>
      <c r="Q145" s="208" t="e">
        <f aca="false">P145</f>
        <v>#VALUE!</v>
      </c>
      <c r="R145" s="209" t="e">
        <f aca="true">A145-1-TODAY()</f>
        <v>#VALUE!</v>
      </c>
      <c r="S145" s="210" t="e">
        <f aca="false">VLOOKUP($A145,Curve_Fetch,VLOOKUP(Control!$AJ$10,Control!$AI$11:$AM$22,5))</f>
        <v>#VALUE!</v>
      </c>
      <c r="T145" s="211" t="e">
        <f aca="false">EURO(N145,O145,P145,Q145,S145,R145,IF(Control!$C$38="Call",1,0),0)</f>
        <v>#NAME?</v>
      </c>
      <c r="U145" s="174" t="e">
        <f aca="false">T145*B145*E145</f>
        <v>#VALUE!</v>
      </c>
      <c r="V145" s="212"/>
      <c r="W145" s="213"/>
      <c r="X145" s="213"/>
      <c r="Y145" s="213"/>
      <c r="AA145" s="214"/>
      <c r="AB145" s="214"/>
      <c r="AC145" s="215"/>
      <c r="AD145" s="216"/>
      <c r="AE145" s="217"/>
      <c r="AF145" s="218"/>
      <c r="AG145" s="219"/>
      <c r="AH145" s="220"/>
      <c r="AI145" s="174"/>
      <c r="AJ145" s="171" t="e">
        <f aca="false">Y145-L145</f>
        <v>#VALUE!</v>
      </c>
      <c r="AL145" s="208" t="e">
        <f aca="false">VLOOKUP($C145,Curve_Fetch,2)+Cost_of_Funds</f>
        <v>#VALUE!</v>
      </c>
      <c r="AM145" s="210" t="e">
        <f aca="false">1/(1+AL145/2)^(2*(C145-Val_Date)/365.25)</f>
        <v>#VALUE!</v>
      </c>
      <c r="AO145" s="222" t="e">
        <f aca="false">$B145*$E145*$AM145</f>
        <v>#VALUE!</v>
      </c>
      <c r="AP145" s="222"/>
      <c r="AQ145" s="222" t="e">
        <f aca="false">H145*AO145</f>
        <v>#VALUE!</v>
      </c>
      <c r="AR145" s="222"/>
      <c r="AS145" s="174" t="e">
        <f aca="false">J145*$AO145</f>
        <v>#VALUE!</v>
      </c>
      <c r="AT145" s="174" t="e">
        <f aca="false">K145*$AO145</f>
        <v>#VALUE!</v>
      </c>
      <c r="AU145" s="174" t="e">
        <f aca="false">L145*$AO145</f>
        <v>#VALUE!</v>
      </c>
      <c r="AV145" s="174"/>
      <c r="AW145" s="174"/>
      <c r="AY145" s="220"/>
      <c r="AZ145" s="220"/>
      <c r="BA145" s="223"/>
      <c r="BC145" s="220"/>
      <c r="BE145" s="206"/>
    </row>
    <row r="146" customFormat="false" ht="12.75" hidden="false" customHeight="false" outlineLevel="0" collapsed="false">
      <c r="A146" s="167" t="e">
        <f aca="false">([1]!edate,A145,1)</f>
        <v>#VALUE!</v>
      </c>
      <c r="B146" s="201" t="e">
        <f aca="false">A147-A146</f>
        <v>#VALUE!</v>
      </c>
      <c r="C146" s="202" t="e">
        <f aca="false">IF(Control!$F$18="Physical",Model!A147+24,Model!A147)</f>
        <v>#VALUE!</v>
      </c>
      <c r="E146" s="203" t="e">
        <f aca="false">IF($A146&lt;End_Date,IF(Control!$C$20="Flat",Control!$C$21,VLOOKUP(Model!$A146,Euro!$B$29:$D$182,3)),0)</f>
        <v>#VALUE!</v>
      </c>
      <c r="F146" s="203" t="e">
        <f aca="false">E146*B146</f>
        <v>#VALUE!</v>
      </c>
      <c r="H146" s="204" t="e">
        <f aca="false">IF(Control!$C$27="Mid",VLOOKUP($A146,CurveFetch!$D$8:$F$367,3),VLOOKUP($A146,Euro!$B$29:$I$182,8))</f>
        <v>#VALUE!</v>
      </c>
      <c r="I146" s="204"/>
      <c r="J146" s="204" t="e">
        <f aca="false">IF($J$4="Mid",VLOOKUP($A146,Curve_Fetch,VLOOKUP(Control!$AJ$10,Control!$AI$11:$AK$22,3)),VLOOKUP($A146,Euro!$B$29:$M$182,12))</f>
        <v>#VALUE!</v>
      </c>
      <c r="K146" s="205" t="e">
        <f aca="false">IF(Control!$F$18="Physical",IF($K$4="Mid",VLOOKUP($A146,Curve_Fetch,VLOOKUP(Control!$AJ$10,Control!$AI$11:$AL$22,4)),VLOOKUP($A146,Euro!$B$29:$Q$182,16)),0)</f>
        <v>#VALUE!</v>
      </c>
      <c r="L146" s="204" t="e">
        <f aca="false">SUM(J146:K146)</f>
        <v>#VALUE!</v>
      </c>
      <c r="M146" s="204"/>
      <c r="N146" s="206" t="e">
        <f aca="false">L146+H146</f>
        <v>#VALUE!</v>
      </c>
      <c r="O146" s="206" t="e">
        <f aca="false">N146+Control!$C$39</f>
        <v>#VALUE!</v>
      </c>
      <c r="P146" s="207" t="e">
        <f aca="false">VLOOKUP($A146,CurveFetch!$D$8:$E$367,2)</f>
        <v>#VALUE!</v>
      </c>
      <c r="Q146" s="208" t="e">
        <f aca="false">P146</f>
        <v>#VALUE!</v>
      </c>
      <c r="R146" s="209" t="e">
        <f aca="true">A146-1-TODAY()</f>
        <v>#VALUE!</v>
      </c>
      <c r="S146" s="210" t="e">
        <f aca="false">VLOOKUP($A146,Curve_Fetch,VLOOKUP(Control!$AJ$10,Control!$AI$11:$AM$22,5))</f>
        <v>#VALUE!</v>
      </c>
      <c r="T146" s="211" t="e">
        <f aca="false">EURO(N146,O146,P146,Q146,S146,R146,IF(Control!$C$38="Call",1,0),0)</f>
        <v>#NAME?</v>
      </c>
      <c r="U146" s="174" t="e">
        <f aca="false">T146*B146*E146</f>
        <v>#VALUE!</v>
      </c>
      <c r="V146" s="212"/>
      <c r="W146" s="213"/>
      <c r="X146" s="213"/>
      <c r="Y146" s="213"/>
      <c r="AA146" s="214"/>
      <c r="AB146" s="214"/>
      <c r="AC146" s="215"/>
      <c r="AD146" s="216"/>
      <c r="AE146" s="217"/>
      <c r="AF146" s="218"/>
      <c r="AG146" s="219"/>
      <c r="AH146" s="220"/>
      <c r="AI146" s="174"/>
      <c r="AJ146" s="171" t="e">
        <f aca="false">Y146-L146</f>
        <v>#VALUE!</v>
      </c>
      <c r="AL146" s="208" t="e">
        <f aca="false">VLOOKUP($C146,Curve_Fetch,2)+Cost_of_Funds</f>
        <v>#VALUE!</v>
      </c>
      <c r="AM146" s="210" t="e">
        <f aca="false">1/(1+AL146/2)^(2*(C146-Val_Date)/365.25)</f>
        <v>#VALUE!</v>
      </c>
      <c r="AO146" s="222" t="e">
        <f aca="false">$B146*$E146*$AM146</f>
        <v>#VALUE!</v>
      </c>
      <c r="AP146" s="222"/>
      <c r="AQ146" s="222" t="e">
        <f aca="false">H146*AO146</f>
        <v>#VALUE!</v>
      </c>
      <c r="AR146" s="222"/>
      <c r="AS146" s="174" t="e">
        <f aca="false">J146*$AO146</f>
        <v>#VALUE!</v>
      </c>
      <c r="AT146" s="174" t="e">
        <f aca="false">K146*$AO146</f>
        <v>#VALUE!</v>
      </c>
      <c r="AU146" s="174" t="e">
        <f aca="false">L146*$AO146</f>
        <v>#VALUE!</v>
      </c>
      <c r="AV146" s="174"/>
      <c r="AW146" s="174"/>
      <c r="AY146" s="220"/>
      <c r="AZ146" s="220"/>
      <c r="BA146" s="223"/>
      <c r="BC146" s="220"/>
      <c r="BE146" s="206"/>
    </row>
    <row r="147" customFormat="false" ht="12.75" hidden="false" customHeight="false" outlineLevel="0" collapsed="false">
      <c r="A147" s="167" t="e">
        <f aca="false">([1]!edate,A146,1)</f>
        <v>#VALUE!</v>
      </c>
      <c r="B147" s="201" t="e">
        <f aca="false">A148-A147</f>
        <v>#VALUE!</v>
      </c>
      <c r="C147" s="202" t="e">
        <f aca="false">IF(Control!$F$18="Physical",Model!A148+24,Model!A148)</f>
        <v>#VALUE!</v>
      </c>
      <c r="E147" s="203" t="e">
        <f aca="false">IF($A147&lt;End_Date,IF(Control!$C$20="Flat",Control!$C$21,VLOOKUP(Model!$A147,Euro!$B$29:$D$182,3)),0)</f>
        <v>#VALUE!</v>
      </c>
      <c r="F147" s="203" t="e">
        <f aca="false">E147*B147</f>
        <v>#VALUE!</v>
      </c>
      <c r="H147" s="204" t="e">
        <f aca="false">IF(Control!$C$27="Mid",VLOOKUP($A147,CurveFetch!$D$8:$F$367,3),VLOOKUP($A147,Euro!$B$29:$I$182,8))</f>
        <v>#VALUE!</v>
      </c>
      <c r="I147" s="204"/>
      <c r="J147" s="204" t="e">
        <f aca="false">IF($J$4="Mid",VLOOKUP($A147,Curve_Fetch,VLOOKUP(Control!$AJ$10,Control!$AI$11:$AK$22,3)),VLOOKUP($A147,Euro!$B$29:$M$182,12))</f>
        <v>#VALUE!</v>
      </c>
      <c r="K147" s="205" t="e">
        <f aca="false">IF(Control!$F$18="Physical",IF($K$4="Mid",VLOOKUP($A147,Curve_Fetch,VLOOKUP(Control!$AJ$10,Control!$AI$11:$AL$22,4)),VLOOKUP($A147,Euro!$B$29:$Q$182,16)),0)</f>
        <v>#VALUE!</v>
      </c>
      <c r="L147" s="204" t="e">
        <f aca="false">SUM(J147:K147)</f>
        <v>#VALUE!</v>
      </c>
      <c r="M147" s="204"/>
      <c r="N147" s="206" t="e">
        <f aca="false">L147+H147</f>
        <v>#VALUE!</v>
      </c>
      <c r="O147" s="206" t="e">
        <f aca="false">N147+Control!$C$39</f>
        <v>#VALUE!</v>
      </c>
      <c r="P147" s="207" t="e">
        <f aca="false">VLOOKUP($A147,CurveFetch!$D$8:$E$367,2)</f>
        <v>#VALUE!</v>
      </c>
      <c r="Q147" s="208" t="e">
        <f aca="false">P147</f>
        <v>#VALUE!</v>
      </c>
      <c r="R147" s="209" t="e">
        <f aca="true">A147-1-TODAY()</f>
        <v>#VALUE!</v>
      </c>
      <c r="S147" s="210" t="e">
        <f aca="false">VLOOKUP($A147,Curve_Fetch,VLOOKUP(Control!$AJ$10,Control!$AI$11:$AM$22,5))</f>
        <v>#VALUE!</v>
      </c>
      <c r="T147" s="211" t="e">
        <f aca="false">EURO(N147,O147,P147,Q147,S147,R147,IF(Control!$C$38="Call",1,0),0)</f>
        <v>#NAME?</v>
      </c>
      <c r="U147" s="174" t="e">
        <f aca="false">T147*B147*E147</f>
        <v>#VALUE!</v>
      </c>
      <c r="V147" s="212"/>
      <c r="W147" s="213"/>
      <c r="X147" s="213"/>
      <c r="Y147" s="213"/>
      <c r="AA147" s="214"/>
      <c r="AB147" s="214"/>
      <c r="AC147" s="215"/>
      <c r="AD147" s="216"/>
      <c r="AE147" s="217"/>
      <c r="AF147" s="218"/>
      <c r="AG147" s="219"/>
      <c r="AH147" s="220"/>
      <c r="AI147" s="174"/>
      <c r="AJ147" s="171" t="e">
        <f aca="false">Y147-L147</f>
        <v>#VALUE!</v>
      </c>
      <c r="AL147" s="208" t="e">
        <f aca="false">VLOOKUP($C147,Curve_Fetch,2)+Cost_of_Funds</f>
        <v>#VALUE!</v>
      </c>
      <c r="AM147" s="210" t="e">
        <f aca="false">1/(1+AL147/2)^(2*(C147-Val_Date)/365.25)</f>
        <v>#VALUE!</v>
      </c>
      <c r="AO147" s="222" t="e">
        <f aca="false">$B147*$E147*$AM147</f>
        <v>#VALUE!</v>
      </c>
      <c r="AP147" s="222"/>
      <c r="AQ147" s="222" t="e">
        <f aca="false">H147*AO147</f>
        <v>#VALUE!</v>
      </c>
      <c r="AR147" s="222"/>
      <c r="AS147" s="174" t="e">
        <f aca="false">J147*$AO147</f>
        <v>#VALUE!</v>
      </c>
      <c r="AT147" s="174" t="e">
        <f aca="false">K147*$AO147</f>
        <v>#VALUE!</v>
      </c>
      <c r="AU147" s="174" t="e">
        <f aca="false">L147*$AO147</f>
        <v>#VALUE!</v>
      </c>
      <c r="AV147" s="174"/>
      <c r="AW147" s="174"/>
      <c r="AY147" s="220"/>
      <c r="AZ147" s="220"/>
      <c r="BA147" s="223"/>
      <c r="BC147" s="220"/>
      <c r="BE147" s="206"/>
    </row>
    <row r="148" customFormat="false" ht="12.75" hidden="false" customHeight="false" outlineLevel="0" collapsed="false">
      <c r="A148" s="167" t="e">
        <f aca="false">([1]!edate,A147,1)</f>
        <v>#VALUE!</v>
      </c>
      <c r="B148" s="201" t="e">
        <f aca="false">A149-A148</f>
        <v>#VALUE!</v>
      </c>
      <c r="C148" s="202" t="e">
        <f aca="false">IF(Control!$F$18="Physical",Model!A149+24,Model!A149)</f>
        <v>#VALUE!</v>
      </c>
      <c r="E148" s="203" t="e">
        <f aca="false">IF($A148&lt;End_Date,IF(Control!$C$20="Flat",Control!$C$21,VLOOKUP(Model!$A148,Euro!$B$29:$D$182,3)),0)</f>
        <v>#VALUE!</v>
      </c>
      <c r="F148" s="203" t="e">
        <f aca="false">E148*B148</f>
        <v>#VALUE!</v>
      </c>
      <c r="H148" s="204" t="e">
        <f aca="false">IF(Control!$C$27="Mid",VLOOKUP($A148,CurveFetch!$D$8:$F$367,3),VLOOKUP($A148,Euro!$B$29:$I$182,8))</f>
        <v>#VALUE!</v>
      </c>
      <c r="I148" s="204"/>
      <c r="J148" s="204" t="e">
        <f aca="false">IF($J$4="Mid",VLOOKUP($A148,Curve_Fetch,VLOOKUP(Control!$AJ$10,Control!$AI$11:$AK$22,3)),VLOOKUP($A148,Euro!$B$29:$M$182,12))</f>
        <v>#VALUE!</v>
      </c>
      <c r="K148" s="205" t="e">
        <f aca="false">IF(Control!$F$18="Physical",IF($K$4="Mid",VLOOKUP($A148,Curve_Fetch,VLOOKUP(Control!$AJ$10,Control!$AI$11:$AL$22,4)),VLOOKUP($A148,Euro!$B$29:$Q$182,16)),0)</f>
        <v>#VALUE!</v>
      </c>
      <c r="L148" s="204" t="e">
        <f aca="false">SUM(J148:K148)</f>
        <v>#VALUE!</v>
      </c>
      <c r="M148" s="204"/>
      <c r="N148" s="206" t="e">
        <f aca="false">L148+H148</f>
        <v>#VALUE!</v>
      </c>
      <c r="O148" s="206" t="e">
        <f aca="false">N148+Control!$C$39</f>
        <v>#VALUE!</v>
      </c>
      <c r="P148" s="207" t="e">
        <f aca="false">VLOOKUP($A148,CurveFetch!$D$8:$E$367,2)</f>
        <v>#VALUE!</v>
      </c>
      <c r="Q148" s="208" t="e">
        <f aca="false">P148</f>
        <v>#VALUE!</v>
      </c>
      <c r="R148" s="209" t="e">
        <f aca="true">A148-1-TODAY()</f>
        <v>#VALUE!</v>
      </c>
      <c r="S148" s="210" t="e">
        <f aca="false">VLOOKUP($A148,Curve_Fetch,VLOOKUP(Control!$AJ$10,Control!$AI$11:$AM$22,5))</f>
        <v>#VALUE!</v>
      </c>
      <c r="T148" s="211" t="e">
        <f aca="false">EURO(N148,O148,P148,Q148,S148,R148,IF(Control!$C$38="Call",1,0),0)</f>
        <v>#NAME?</v>
      </c>
      <c r="U148" s="174" t="e">
        <f aca="false">T148*B148*E148</f>
        <v>#VALUE!</v>
      </c>
      <c r="V148" s="212"/>
      <c r="W148" s="213"/>
      <c r="X148" s="213"/>
      <c r="Y148" s="213"/>
      <c r="AA148" s="214"/>
      <c r="AB148" s="214"/>
      <c r="AC148" s="215"/>
      <c r="AD148" s="216"/>
      <c r="AE148" s="217"/>
      <c r="AF148" s="218"/>
      <c r="AG148" s="219"/>
      <c r="AH148" s="220"/>
      <c r="AI148" s="174"/>
      <c r="AJ148" s="171" t="e">
        <f aca="false">Y148-L148</f>
        <v>#VALUE!</v>
      </c>
      <c r="AL148" s="208" t="e">
        <f aca="false">VLOOKUP($C148,Curve_Fetch,2)+Cost_of_Funds</f>
        <v>#VALUE!</v>
      </c>
      <c r="AM148" s="210" t="e">
        <f aca="false">1/(1+AL148/2)^(2*(C148-Val_Date)/365.25)</f>
        <v>#VALUE!</v>
      </c>
      <c r="AO148" s="222" t="e">
        <f aca="false">$B148*$E148*$AM148</f>
        <v>#VALUE!</v>
      </c>
      <c r="AP148" s="222"/>
      <c r="AQ148" s="222" t="e">
        <f aca="false">H148*AO148</f>
        <v>#VALUE!</v>
      </c>
      <c r="AR148" s="222"/>
      <c r="AS148" s="174" t="e">
        <f aca="false">J148*$AO148</f>
        <v>#VALUE!</v>
      </c>
      <c r="AT148" s="174" t="e">
        <f aca="false">K148*$AO148</f>
        <v>#VALUE!</v>
      </c>
      <c r="AU148" s="174" t="e">
        <f aca="false">L148*$AO148</f>
        <v>#VALUE!</v>
      </c>
      <c r="AV148" s="174"/>
      <c r="AW148" s="174"/>
      <c r="AY148" s="220"/>
      <c r="AZ148" s="220"/>
      <c r="BA148" s="223"/>
      <c r="BC148" s="220"/>
      <c r="BE148" s="206"/>
    </row>
    <row r="149" customFormat="false" ht="12.75" hidden="false" customHeight="false" outlineLevel="0" collapsed="false">
      <c r="A149" s="167" t="e">
        <f aca="false">([1]!edate,A148,1)</f>
        <v>#VALUE!</v>
      </c>
      <c r="B149" s="201" t="e">
        <f aca="false">A150-A149</f>
        <v>#VALUE!</v>
      </c>
      <c r="C149" s="202" t="e">
        <f aca="false">IF(Control!$F$18="Physical",Model!A150+24,Model!A150)</f>
        <v>#VALUE!</v>
      </c>
      <c r="E149" s="203" t="e">
        <f aca="false">IF($A149&lt;End_Date,IF(Control!$C$20="Flat",Control!$C$21,VLOOKUP(Model!$A149,Euro!$B$29:$D$182,3)),0)</f>
        <v>#VALUE!</v>
      </c>
      <c r="F149" s="203" t="e">
        <f aca="false">E149*B149</f>
        <v>#VALUE!</v>
      </c>
      <c r="H149" s="204" t="e">
        <f aca="false">IF(Control!$C$27="Mid",VLOOKUP($A149,CurveFetch!$D$8:$F$367,3),VLOOKUP($A149,Euro!$B$29:$I$182,8))</f>
        <v>#VALUE!</v>
      </c>
      <c r="I149" s="204"/>
      <c r="J149" s="204" t="e">
        <f aca="false">IF($J$4="Mid",VLOOKUP($A149,Curve_Fetch,VLOOKUP(Control!$AJ$10,Control!$AI$11:$AK$22,3)),VLOOKUP($A149,Euro!$B$29:$M$182,12))</f>
        <v>#VALUE!</v>
      </c>
      <c r="K149" s="205" t="e">
        <f aca="false">IF(Control!$F$18="Physical",IF($K$4="Mid",VLOOKUP($A149,Curve_Fetch,VLOOKUP(Control!$AJ$10,Control!$AI$11:$AL$22,4)),VLOOKUP($A149,Euro!$B$29:$Q$182,16)),0)</f>
        <v>#VALUE!</v>
      </c>
      <c r="L149" s="204" t="e">
        <f aca="false">SUM(J149:K149)</f>
        <v>#VALUE!</v>
      </c>
      <c r="M149" s="204"/>
      <c r="N149" s="206" t="e">
        <f aca="false">L149+H149</f>
        <v>#VALUE!</v>
      </c>
      <c r="O149" s="206" t="e">
        <f aca="false">N149+Control!$C$39</f>
        <v>#VALUE!</v>
      </c>
      <c r="P149" s="207" t="e">
        <f aca="false">VLOOKUP($A149,CurveFetch!$D$8:$E$367,2)</f>
        <v>#VALUE!</v>
      </c>
      <c r="Q149" s="208" t="e">
        <f aca="false">P149</f>
        <v>#VALUE!</v>
      </c>
      <c r="R149" s="209" t="e">
        <f aca="true">A149-1-TODAY()</f>
        <v>#VALUE!</v>
      </c>
      <c r="S149" s="210" t="e">
        <f aca="false">VLOOKUP($A149,Curve_Fetch,VLOOKUP(Control!$AJ$10,Control!$AI$11:$AM$22,5))</f>
        <v>#VALUE!</v>
      </c>
      <c r="T149" s="211" t="e">
        <f aca="false">EURO(N149,O149,P149,Q149,S149,R149,IF(Control!$C$38="Call",1,0),0)</f>
        <v>#NAME?</v>
      </c>
      <c r="U149" s="174" t="e">
        <f aca="false">T149*B149*E149</f>
        <v>#VALUE!</v>
      </c>
      <c r="V149" s="212"/>
      <c r="W149" s="213"/>
      <c r="X149" s="213"/>
      <c r="Y149" s="213"/>
      <c r="AA149" s="214"/>
      <c r="AB149" s="214"/>
      <c r="AC149" s="215"/>
      <c r="AD149" s="216"/>
      <c r="AE149" s="217"/>
      <c r="AF149" s="218"/>
      <c r="AG149" s="219"/>
      <c r="AH149" s="220"/>
      <c r="AI149" s="174"/>
      <c r="AJ149" s="171" t="e">
        <f aca="false">Y149-L149</f>
        <v>#VALUE!</v>
      </c>
      <c r="AL149" s="208" t="e">
        <f aca="false">VLOOKUP($C149,Curve_Fetch,2)+Cost_of_Funds</f>
        <v>#VALUE!</v>
      </c>
      <c r="AM149" s="210" t="e">
        <f aca="false">1/(1+AL149/2)^(2*(C149-Val_Date)/365.25)</f>
        <v>#VALUE!</v>
      </c>
      <c r="AO149" s="222" t="e">
        <f aca="false">$B149*$E149*$AM149</f>
        <v>#VALUE!</v>
      </c>
      <c r="AP149" s="222"/>
      <c r="AQ149" s="222" t="e">
        <f aca="false">H149*AO149</f>
        <v>#VALUE!</v>
      </c>
      <c r="AR149" s="222"/>
      <c r="AS149" s="174" t="e">
        <f aca="false">J149*$AO149</f>
        <v>#VALUE!</v>
      </c>
      <c r="AT149" s="174" t="e">
        <f aca="false">K149*$AO149</f>
        <v>#VALUE!</v>
      </c>
      <c r="AU149" s="174" t="e">
        <f aca="false">L149*$AO149</f>
        <v>#VALUE!</v>
      </c>
      <c r="AV149" s="174"/>
      <c r="AW149" s="174"/>
      <c r="AY149" s="220"/>
      <c r="AZ149" s="220"/>
      <c r="BA149" s="223"/>
      <c r="BC149" s="220"/>
      <c r="BE149" s="206"/>
    </row>
    <row r="150" customFormat="false" ht="12.75" hidden="false" customHeight="false" outlineLevel="0" collapsed="false">
      <c r="A150" s="167" t="e">
        <f aca="false">([1]!edate,A149,1)</f>
        <v>#VALUE!</v>
      </c>
      <c r="B150" s="201" t="e">
        <f aca="false">A151-A150</f>
        <v>#VALUE!</v>
      </c>
      <c r="C150" s="202" t="e">
        <f aca="false">IF(Control!$F$18="Physical",Model!A151+24,Model!A151)</f>
        <v>#VALUE!</v>
      </c>
      <c r="E150" s="203" t="e">
        <f aca="false">IF($A150&lt;End_Date,IF(Control!$C$20="Flat",Control!$C$21,VLOOKUP(Model!$A150,Euro!$B$29:$D$182,3)),0)</f>
        <v>#VALUE!</v>
      </c>
      <c r="F150" s="203" t="e">
        <f aca="false">E150*B150</f>
        <v>#VALUE!</v>
      </c>
      <c r="H150" s="204" t="e">
        <f aca="false">IF(Control!$C$27="Mid",VLOOKUP($A150,CurveFetch!$D$8:$F$367,3),VLOOKUP($A150,Euro!$B$29:$I$182,8))</f>
        <v>#VALUE!</v>
      </c>
      <c r="I150" s="204"/>
      <c r="J150" s="204" t="e">
        <f aca="false">IF($J$4="Mid",VLOOKUP($A150,Curve_Fetch,VLOOKUP(Control!$AJ$10,Control!$AI$11:$AK$22,3)),VLOOKUP($A150,Euro!$B$29:$M$182,12))</f>
        <v>#VALUE!</v>
      </c>
      <c r="K150" s="205" t="e">
        <f aca="false">IF(Control!$F$18="Physical",IF($K$4="Mid",VLOOKUP($A150,Curve_Fetch,VLOOKUP(Control!$AJ$10,Control!$AI$11:$AL$22,4)),VLOOKUP($A150,Euro!$B$29:$Q$182,16)),0)</f>
        <v>#VALUE!</v>
      </c>
      <c r="L150" s="204" t="e">
        <f aca="false">SUM(J150:K150)</f>
        <v>#VALUE!</v>
      </c>
      <c r="M150" s="204"/>
      <c r="N150" s="206" t="e">
        <f aca="false">L150+H150</f>
        <v>#VALUE!</v>
      </c>
      <c r="O150" s="206" t="e">
        <f aca="false">N150+Control!$C$39</f>
        <v>#VALUE!</v>
      </c>
      <c r="P150" s="207" t="e">
        <f aca="false">VLOOKUP($A150,CurveFetch!$D$8:$E$367,2)</f>
        <v>#VALUE!</v>
      </c>
      <c r="Q150" s="208" t="e">
        <f aca="false">P150</f>
        <v>#VALUE!</v>
      </c>
      <c r="R150" s="209" t="e">
        <f aca="true">A150-1-TODAY()</f>
        <v>#VALUE!</v>
      </c>
      <c r="S150" s="210" t="e">
        <f aca="false">VLOOKUP($A150,Curve_Fetch,VLOOKUP(Control!$AJ$10,Control!$AI$11:$AM$22,5))</f>
        <v>#VALUE!</v>
      </c>
      <c r="T150" s="211" t="e">
        <f aca="false">EURO(N150,O150,P150,Q150,S150,R150,IF(Control!$C$38="Call",1,0),0)</f>
        <v>#NAME?</v>
      </c>
      <c r="U150" s="174" t="e">
        <f aca="false">T150*B150*E150</f>
        <v>#VALUE!</v>
      </c>
      <c r="V150" s="212"/>
      <c r="W150" s="213"/>
      <c r="X150" s="213"/>
      <c r="Y150" s="213"/>
      <c r="AA150" s="214"/>
      <c r="AB150" s="214"/>
      <c r="AC150" s="215"/>
      <c r="AD150" s="216"/>
      <c r="AE150" s="217"/>
      <c r="AF150" s="218"/>
      <c r="AG150" s="219"/>
      <c r="AH150" s="220"/>
      <c r="AI150" s="174"/>
      <c r="AJ150" s="171" t="e">
        <f aca="false">Y150-L150</f>
        <v>#VALUE!</v>
      </c>
      <c r="AL150" s="208" t="e">
        <f aca="false">VLOOKUP($C150,Curve_Fetch,2)+Cost_of_Funds</f>
        <v>#VALUE!</v>
      </c>
      <c r="AM150" s="210" t="e">
        <f aca="false">1/(1+AL150/2)^(2*(C150-Val_Date)/365.25)</f>
        <v>#VALUE!</v>
      </c>
      <c r="AO150" s="222" t="e">
        <f aca="false">$B150*$E150*$AM150</f>
        <v>#VALUE!</v>
      </c>
      <c r="AP150" s="222"/>
      <c r="AQ150" s="222" t="e">
        <f aca="false">H150*AO150</f>
        <v>#VALUE!</v>
      </c>
      <c r="AR150" s="222"/>
      <c r="AS150" s="174" t="e">
        <f aca="false">J150*$AO150</f>
        <v>#VALUE!</v>
      </c>
      <c r="AT150" s="174" t="e">
        <f aca="false">K150*$AO150</f>
        <v>#VALUE!</v>
      </c>
      <c r="AU150" s="174" t="e">
        <f aca="false">L150*$AO150</f>
        <v>#VALUE!</v>
      </c>
      <c r="AV150" s="174"/>
      <c r="AW150" s="174"/>
      <c r="AY150" s="220"/>
      <c r="AZ150" s="220"/>
      <c r="BA150" s="223"/>
      <c r="BC150" s="220"/>
      <c r="BE150" s="206"/>
    </row>
    <row r="151" customFormat="false" ht="12.75" hidden="false" customHeight="false" outlineLevel="0" collapsed="false">
      <c r="A151" s="167" t="e">
        <f aca="false">([1]!edate,A150,1)</f>
        <v>#VALUE!</v>
      </c>
      <c r="B151" s="201" t="e">
        <f aca="false">A152-A151</f>
        <v>#VALUE!</v>
      </c>
      <c r="C151" s="202" t="e">
        <f aca="false">IF(Control!$F$18="Physical",Model!A152+24,Model!A152)</f>
        <v>#VALUE!</v>
      </c>
      <c r="E151" s="203" t="e">
        <f aca="false">IF($A151&lt;End_Date,IF(Control!$C$20="Flat",Control!$C$21,VLOOKUP(Model!$A151,Euro!$B$29:$D$182,3)),0)</f>
        <v>#VALUE!</v>
      </c>
      <c r="F151" s="203" t="e">
        <f aca="false">E151*B151</f>
        <v>#VALUE!</v>
      </c>
      <c r="H151" s="204" t="e">
        <f aca="false">IF(Control!$C$27="Mid",VLOOKUP($A151,CurveFetch!$D$8:$F$367,3),VLOOKUP($A151,Euro!$B$29:$I$182,8))</f>
        <v>#VALUE!</v>
      </c>
      <c r="I151" s="204"/>
      <c r="J151" s="204" t="e">
        <f aca="false">IF($J$4="Mid",VLOOKUP($A151,Curve_Fetch,VLOOKUP(Control!$AJ$10,Control!$AI$11:$AK$22,3)),VLOOKUP($A151,Euro!$B$29:$M$182,12))</f>
        <v>#VALUE!</v>
      </c>
      <c r="K151" s="205" t="e">
        <f aca="false">IF(Control!$F$18="Physical",IF($K$4="Mid",VLOOKUP($A151,Curve_Fetch,VLOOKUP(Control!$AJ$10,Control!$AI$11:$AL$22,4)),VLOOKUP($A151,Euro!$B$29:$Q$182,16)),0)</f>
        <v>#VALUE!</v>
      </c>
      <c r="L151" s="204" t="e">
        <f aca="false">SUM(J151:K151)</f>
        <v>#VALUE!</v>
      </c>
      <c r="M151" s="204"/>
      <c r="N151" s="206" t="e">
        <f aca="false">L151+H151</f>
        <v>#VALUE!</v>
      </c>
      <c r="O151" s="206" t="e">
        <f aca="false">N151+Control!$C$39</f>
        <v>#VALUE!</v>
      </c>
      <c r="P151" s="207" t="e">
        <f aca="false">VLOOKUP($A151,CurveFetch!$D$8:$E$367,2)</f>
        <v>#VALUE!</v>
      </c>
      <c r="Q151" s="208" t="e">
        <f aca="false">P151</f>
        <v>#VALUE!</v>
      </c>
      <c r="R151" s="209" t="e">
        <f aca="true">A151-1-TODAY()</f>
        <v>#VALUE!</v>
      </c>
      <c r="S151" s="210" t="e">
        <f aca="false">VLOOKUP($A151,Curve_Fetch,VLOOKUP(Control!$AJ$10,Control!$AI$11:$AM$22,5))</f>
        <v>#VALUE!</v>
      </c>
      <c r="T151" s="211" t="e">
        <f aca="false">EURO(N151,O151,P151,Q151,S151,R151,IF(Control!$C$38="Call",1,0),0)</f>
        <v>#NAME?</v>
      </c>
      <c r="U151" s="174" t="e">
        <f aca="false">T151*B151*E151</f>
        <v>#VALUE!</v>
      </c>
      <c r="V151" s="212"/>
      <c r="W151" s="213"/>
      <c r="X151" s="213"/>
      <c r="Y151" s="213"/>
      <c r="AA151" s="214"/>
      <c r="AB151" s="214"/>
      <c r="AC151" s="215"/>
      <c r="AD151" s="216"/>
      <c r="AE151" s="217"/>
      <c r="AF151" s="218"/>
      <c r="AG151" s="219"/>
      <c r="AH151" s="220"/>
      <c r="AI151" s="174"/>
      <c r="AJ151" s="171" t="e">
        <f aca="false">Y151-L151</f>
        <v>#VALUE!</v>
      </c>
      <c r="AL151" s="208" t="e">
        <f aca="false">VLOOKUP($C151,Curve_Fetch,2)+Cost_of_Funds</f>
        <v>#VALUE!</v>
      </c>
      <c r="AM151" s="210" t="e">
        <f aca="false">1/(1+AL151/2)^(2*(C151-Val_Date)/365.25)</f>
        <v>#VALUE!</v>
      </c>
      <c r="AO151" s="222" t="e">
        <f aca="false">$B151*$E151*$AM151</f>
        <v>#VALUE!</v>
      </c>
      <c r="AP151" s="222"/>
      <c r="AQ151" s="222" t="e">
        <f aca="false">H151*AO151</f>
        <v>#VALUE!</v>
      </c>
      <c r="AR151" s="222"/>
      <c r="AS151" s="174" t="e">
        <f aca="false">J151*$AO151</f>
        <v>#VALUE!</v>
      </c>
      <c r="AT151" s="174" t="e">
        <f aca="false">K151*$AO151</f>
        <v>#VALUE!</v>
      </c>
      <c r="AU151" s="174" t="e">
        <f aca="false">L151*$AO151</f>
        <v>#VALUE!</v>
      </c>
      <c r="AV151" s="174"/>
      <c r="AW151" s="174"/>
      <c r="AY151" s="220"/>
      <c r="AZ151" s="220"/>
      <c r="BA151" s="223"/>
      <c r="BC151" s="220"/>
      <c r="BE151" s="206"/>
    </row>
    <row r="152" customFormat="false" ht="12.75" hidden="false" customHeight="false" outlineLevel="0" collapsed="false">
      <c r="A152" s="167" t="e">
        <f aca="false">([1]!edate,A151,1)</f>
        <v>#VALUE!</v>
      </c>
      <c r="B152" s="201" t="e">
        <f aca="false">A153-A152</f>
        <v>#VALUE!</v>
      </c>
      <c r="C152" s="202" t="e">
        <f aca="false">IF(Control!$F$18="Physical",Model!A153+24,Model!A153)</f>
        <v>#VALUE!</v>
      </c>
      <c r="E152" s="203" t="e">
        <f aca="false">IF($A152&lt;End_Date,IF(Control!$C$20="Flat",Control!$C$21,VLOOKUP(Model!$A152,Euro!$B$29:$D$182,3)),0)</f>
        <v>#VALUE!</v>
      </c>
      <c r="F152" s="203" t="e">
        <f aca="false">E152*B152</f>
        <v>#VALUE!</v>
      </c>
      <c r="H152" s="204" t="e">
        <f aca="false">IF(Control!$C$27="Mid",VLOOKUP($A152,CurveFetch!$D$8:$F$367,3),VLOOKUP($A152,Euro!$B$29:$I$182,8))</f>
        <v>#VALUE!</v>
      </c>
      <c r="I152" s="204"/>
      <c r="J152" s="204" t="e">
        <f aca="false">IF($J$4="Mid",VLOOKUP($A152,Curve_Fetch,VLOOKUP(Control!$AJ$10,Control!$AI$11:$AK$22,3)),VLOOKUP($A152,Euro!$B$29:$M$182,12))</f>
        <v>#VALUE!</v>
      </c>
      <c r="K152" s="205" t="e">
        <f aca="false">IF(Control!$F$18="Physical",IF($K$4="Mid",VLOOKUP($A152,Curve_Fetch,VLOOKUP(Control!$AJ$10,Control!$AI$11:$AL$22,4)),VLOOKUP($A152,Euro!$B$29:$Q$182,16)),0)</f>
        <v>#VALUE!</v>
      </c>
      <c r="L152" s="204" t="e">
        <f aca="false">SUM(J152:K152)</f>
        <v>#VALUE!</v>
      </c>
      <c r="M152" s="204"/>
      <c r="N152" s="206" t="e">
        <f aca="false">L152+H152</f>
        <v>#VALUE!</v>
      </c>
      <c r="O152" s="206" t="e">
        <f aca="false">N152+Control!$C$39</f>
        <v>#VALUE!</v>
      </c>
      <c r="P152" s="207" t="e">
        <f aca="false">VLOOKUP($A152,CurveFetch!$D$8:$E$367,2)</f>
        <v>#VALUE!</v>
      </c>
      <c r="Q152" s="208" t="e">
        <f aca="false">P152</f>
        <v>#VALUE!</v>
      </c>
      <c r="R152" s="209" t="e">
        <f aca="true">A152-1-TODAY()</f>
        <v>#VALUE!</v>
      </c>
      <c r="S152" s="210" t="e">
        <f aca="false">VLOOKUP($A152,Curve_Fetch,VLOOKUP(Control!$AJ$10,Control!$AI$11:$AM$22,5))</f>
        <v>#VALUE!</v>
      </c>
      <c r="T152" s="211" t="e">
        <f aca="false">EURO(N152,O152,P152,Q152,S152,R152,IF(Control!$C$38="Call",1,0),0)</f>
        <v>#NAME?</v>
      </c>
      <c r="U152" s="174" t="e">
        <f aca="false">T152*B152*E152</f>
        <v>#VALUE!</v>
      </c>
      <c r="V152" s="212"/>
      <c r="W152" s="213"/>
      <c r="X152" s="213"/>
      <c r="Y152" s="213"/>
      <c r="AA152" s="214"/>
      <c r="AB152" s="214"/>
      <c r="AC152" s="215"/>
      <c r="AD152" s="216"/>
      <c r="AE152" s="217"/>
      <c r="AF152" s="218"/>
      <c r="AG152" s="219"/>
      <c r="AH152" s="220"/>
      <c r="AI152" s="174"/>
      <c r="AJ152" s="171" t="e">
        <f aca="false">Y152-L152</f>
        <v>#VALUE!</v>
      </c>
      <c r="AL152" s="208" t="e">
        <f aca="false">VLOOKUP($C152,Curve_Fetch,2)+Cost_of_Funds</f>
        <v>#VALUE!</v>
      </c>
      <c r="AM152" s="210" t="e">
        <f aca="false">1/(1+AL152/2)^(2*(C152-Val_Date)/365.25)</f>
        <v>#VALUE!</v>
      </c>
      <c r="AO152" s="222" t="e">
        <f aca="false">$B152*$E152*$AM152</f>
        <v>#VALUE!</v>
      </c>
      <c r="AP152" s="222"/>
      <c r="AQ152" s="222" t="e">
        <f aca="false">H152*AO152</f>
        <v>#VALUE!</v>
      </c>
      <c r="AR152" s="222"/>
      <c r="AS152" s="174" t="e">
        <f aca="false">J152*$AO152</f>
        <v>#VALUE!</v>
      </c>
      <c r="AT152" s="174" t="e">
        <f aca="false">K152*$AO152</f>
        <v>#VALUE!</v>
      </c>
      <c r="AU152" s="174" t="e">
        <f aca="false">L152*$AO152</f>
        <v>#VALUE!</v>
      </c>
      <c r="AV152" s="174"/>
      <c r="AW152" s="174"/>
      <c r="AY152" s="220"/>
      <c r="AZ152" s="220"/>
      <c r="BA152" s="223"/>
      <c r="BC152" s="220"/>
      <c r="BE152" s="206"/>
    </row>
    <row r="153" customFormat="false" ht="12.75" hidden="false" customHeight="false" outlineLevel="0" collapsed="false">
      <c r="A153" s="167" t="e">
        <f aca="false">([1]!edate,A152,1)</f>
        <v>#VALUE!</v>
      </c>
      <c r="B153" s="201" t="e">
        <f aca="false">A154-A153</f>
        <v>#VALUE!</v>
      </c>
      <c r="C153" s="202" t="e">
        <f aca="false">IF(Control!$F$18="Physical",Model!A154+24,Model!A154)</f>
        <v>#VALUE!</v>
      </c>
      <c r="E153" s="203" t="e">
        <f aca="false">IF($A153&lt;End_Date,IF(Control!$C$20="Flat",Control!$C$21,VLOOKUP(Model!$A153,Euro!$B$29:$D$182,3)),0)</f>
        <v>#VALUE!</v>
      </c>
      <c r="F153" s="203" t="e">
        <f aca="false">E153*B153</f>
        <v>#VALUE!</v>
      </c>
      <c r="H153" s="204" t="e">
        <f aca="false">IF(Control!$C$27="Mid",VLOOKUP($A153,CurveFetch!$D$8:$F$367,3),VLOOKUP($A153,Euro!$B$29:$I$182,8))</f>
        <v>#VALUE!</v>
      </c>
      <c r="I153" s="204"/>
      <c r="J153" s="204" t="e">
        <f aca="false">IF($J$4="Mid",VLOOKUP($A153,Curve_Fetch,VLOOKUP(Control!$AJ$10,Control!$AI$11:$AK$22,3)),VLOOKUP($A153,Euro!$B$29:$M$182,12))</f>
        <v>#VALUE!</v>
      </c>
      <c r="K153" s="205" t="e">
        <f aca="false">IF(Control!$F$18="Physical",IF($K$4="Mid",VLOOKUP($A153,Curve_Fetch,VLOOKUP(Control!$AJ$10,Control!$AI$11:$AL$22,4)),VLOOKUP($A153,Euro!$B$29:$Q$182,16)),0)</f>
        <v>#VALUE!</v>
      </c>
      <c r="L153" s="204" t="e">
        <f aca="false">SUM(J153:K153)</f>
        <v>#VALUE!</v>
      </c>
      <c r="M153" s="204"/>
      <c r="N153" s="206" t="e">
        <f aca="false">L153+H153</f>
        <v>#VALUE!</v>
      </c>
      <c r="O153" s="206" t="e">
        <f aca="false">N153+Control!$C$39</f>
        <v>#VALUE!</v>
      </c>
      <c r="P153" s="207" t="e">
        <f aca="false">VLOOKUP($A153,CurveFetch!$D$8:$E$367,2)</f>
        <v>#VALUE!</v>
      </c>
      <c r="Q153" s="208" t="e">
        <f aca="false">P153</f>
        <v>#VALUE!</v>
      </c>
      <c r="R153" s="209" t="e">
        <f aca="true">A153-1-TODAY()</f>
        <v>#VALUE!</v>
      </c>
      <c r="S153" s="210" t="e">
        <f aca="false">VLOOKUP($A153,Curve_Fetch,VLOOKUP(Control!$AJ$10,Control!$AI$11:$AM$22,5))</f>
        <v>#VALUE!</v>
      </c>
      <c r="T153" s="211" t="e">
        <f aca="false">EURO(N153,O153,P153,Q153,S153,R153,IF(Control!$C$38="Call",1,0),0)</f>
        <v>#NAME?</v>
      </c>
      <c r="U153" s="174" t="e">
        <f aca="false">T153*B153*E153</f>
        <v>#VALUE!</v>
      </c>
      <c r="V153" s="212"/>
      <c r="W153" s="213"/>
      <c r="X153" s="213"/>
      <c r="Y153" s="213"/>
      <c r="AA153" s="214"/>
      <c r="AB153" s="214"/>
      <c r="AC153" s="215"/>
      <c r="AD153" s="216"/>
      <c r="AE153" s="217"/>
      <c r="AF153" s="218"/>
      <c r="AG153" s="219"/>
      <c r="AH153" s="220"/>
      <c r="AI153" s="174"/>
      <c r="AJ153" s="171" t="e">
        <f aca="false">Y153-L153</f>
        <v>#VALUE!</v>
      </c>
      <c r="AL153" s="208" t="e">
        <f aca="false">VLOOKUP($C153,Curve_Fetch,2)+Cost_of_Funds</f>
        <v>#VALUE!</v>
      </c>
      <c r="AM153" s="210" t="e">
        <f aca="false">1/(1+AL153/2)^(2*(C153-Val_Date)/365.25)</f>
        <v>#VALUE!</v>
      </c>
      <c r="AO153" s="222" t="e">
        <f aca="false">$B153*$E153*$AM153</f>
        <v>#VALUE!</v>
      </c>
      <c r="AP153" s="222"/>
      <c r="AQ153" s="222" t="e">
        <f aca="false">H153*AO153</f>
        <v>#VALUE!</v>
      </c>
      <c r="AR153" s="222"/>
      <c r="AS153" s="174" t="e">
        <f aca="false">J153*$AO153</f>
        <v>#VALUE!</v>
      </c>
      <c r="AT153" s="174" t="e">
        <f aca="false">K153*$AO153</f>
        <v>#VALUE!</v>
      </c>
      <c r="AU153" s="174" t="e">
        <f aca="false">L153*$AO153</f>
        <v>#VALUE!</v>
      </c>
      <c r="AV153" s="174"/>
      <c r="AW153" s="174"/>
      <c r="AY153" s="220"/>
      <c r="AZ153" s="220"/>
      <c r="BA153" s="223"/>
      <c r="BC153" s="220"/>
      <c r="BE153" s="206"/>
    </row>
    <row r="154" customFormat="false" ht="12.75" hidden="false" customHeight="false" outlineLevel="0" collapsed="false">
      <c r="A154" s="167" t="e">
        <f aca="false">([1]!edate,A153,1)</f>
        <v>#VALUE!</v>
      </c>
      <c r="B154" s="201" t="e">
        <f aca="false">A155-A154</f>
        <v>#VALUE!</v>
      </c>
      <c r="C154" s="202" t="e">
        <f aca="false">IF(Control!$F$18="Physical",Model!A155+24,Model!A155)</f>
        <v>#VALUE!</v>
      </c>
      <c r="E154" s="203" t="e">
        <f aca="false">IF($A154&lt;End_Date,IF(Control!$C$20="Flat",Control!$C$21,VLOOKUP(Model!$A154,Euro!$B$29:$D$182,3)),0)</f>
        <v>#VALUE!</v>
      </c>
      <c r="F154" s="203" t="e">
        <f aca="false">E154*B154</f>
        <v>#VALUE!</v>
      </c>
      <c r="H154" s="204" t="e">
        <f aca="false">IF(Control!$C$27="Mid",VLOOKUP($A154,CurveFetch!$D$8:$F$367,3),VLOOKUP($A154,Euro!$B$29:$I$182,8))</f>
        <v>#VALUE!</v>
      </c>
      <c r="I154" s="204"/>
      <c r="J154" s="204" t="e">
        <f aca="false">IF($J$4="Mid",VLOOKUP($A154,Curve_Fetch,VLOOKUP(Control!$AJ$10,Control!$AI$11:$AK$22,3)),VLOOKUP($A154,Euro!$B$29:$M$182,12))</f>
        <v>#VALUE!</v>
      </c>
      <c r="K154" s="205" t="e">
        <f aca="false">IF(Control!$F$18="Physical",IF($K$4="Mid",VLOOKUP($A154,Curve_Fetch,VLOOKUP(Control!$AJ$10,Control!$AI$11:$AL$22,4)),VLOOKUP($A154,Euro!$B$29:$Q$182,16)),0)</f>
        <v>#VALUE!</v>
      </c>
      <c r="L154" s="204" t="e">
        <f aca="false">SUM(J154:K154)</f>
        <v>#VALUE!</v>
      </c>
      <c r="M154" s="204"/>
      <c r="N154" s="206" t="e">
        <f aca="false">L154+H154</f>
        <v>#VALUE!</v>
      </c>
      <c r="O154" s="206" t="e">
        <f aca="false">N154+Control!$C$39</f>
        <v>#VALUE!</v>
      </c>
      <c r="P154" s="207" t="e">
        <f aca="false">VLOOKUP($A154,CurveFetch!$D$8:$E$367,2)</f>
        <v>#VALUE!</v>
      </c>
      <c r="Q154" s="208" t="e">
        <f aca="false">P154</f>
        <v>#VALUE!</v>
      </c>
      <c r="R154" s="209" t="e">
        <f aca="true">A154-1-TODAY()</f>
        <v>#VALUE!</v>
      </c>
      <c r="S154" s="210" t="e">
        <f aca="false">VLOOKUP($A154,Curve_Fetch,VLOOKUP(Control!$AJ$10,Control!$AI$11:$AM$22,5))</f>
        <v>#VALUE!</v>
      </c>
      <c r="T154" s="211" t="e">
        <f aca="false">EURO(N154,O154,P154,Q154,S154,R154,IF(Control!$C$38="Call",1,0),0)</f>
        <v>#NAME?</v>
      </c>
      <c r="U154" s="174" t="e">
        <f aca="false">T154*B154*E154</f>
        <v>#VALUE!</v>
      </c>
      <c r="V154" s="212"/>
      <c r="W154" s="213"/>
      <c r="X154" s="213"/>
      <c r="Y154" s="213"/>
      <c r="AA154" s="214"/>
      <c r="AB154" s="214"/>
      <c r="AC154" s="215"/>
      <c r="AD154" s="216"/>
      <c r="AE154" s="217"/>
      <c r="AF154" s="218"/>
      <c r="AG154" s="219"/>
      <c r="AH154" s="220"/>
      <c r="AI154" s="174"/>
      <c r="AJ154" s="171" t="e">
        <f aca="false">Y154-L154</f>
        <v>#VALUE!</v>
      </c>
      <c r="AL154" s="208" t="e">
        <f aca="false">VLOOKUP($C154,Curve_Fetch,2)+Cost_of_Funds</f>
        <v>#VALUE!</v>
      </c>
      <c r="AM154" s="210" t="e">
        <f aca="false">1/(1+AL154/2)^(2*(C154-Val_Date)/365.25)</f>
        <v>#VALUE!</v>
      </c>
      <c r="AO154" s="222" t="e">
        <f aca="false">$B154*$E154*$AM154</f>
        <v>#VALUE!</v>
      </c>
      <c r="AP154" s="222"/>
      <c r="AQ154" s="222" t="e">
        <f aca="false">H154*AO154</f>
        <v>#VALUE!</v>
      </c>
      <c r="AR154" s="222"/>
      <c r="AS154" s="174" t="e">
        <f aca="false">J154*$AO154</f>
        <v>#VALUE!</v>
      </c>
      <c r="AT154" s="174" t="e">
        <f aca="false">K154*$AO154</f>
        <v>#VALUE!</v>
      </c>
      <c r="AU154" s="174" t="e">
        <f aca="false">L154*$AO154</f>
        <v>#VALUE!</v>
      </c>
      <c r="AV154" s="174"/>
      <c r="AW154" s="174"/>
      <c r="AY154" s="220"/>
      <c r="AZ154" s="220"/>
      <c r="BA154" s="223"/>
      <c r="BC154" s="220"/>
      <c r="BE154" s="206"/>
    </row>
    <row r="155" customFormat="false" ht="12.75" hidden="false" customHeight="false" outlineLevel="0" collapsed="false">
      <c r="A155" s="167" t="e">
        <f aca="false">([1]!edate,A154,1)</f>
        <v>#VALUE!</v>
      </c>
      <c r="B155" s="201" t="e">
        <f aca="false">A156-A155</f>
        <v>#VALUE!</v>
      </c>
      <c r="C155" s="202" t="e">
        <f aca="false">IF(Control!$F$18="Physical",Model!A156+24,Model!A156)</f>
        <v>#VALUE!</v>
      </c>
      <c r="E155" s="203" t="e">
        <f aca="false">IF($A155&lt;End_Date,IF(Control!$C$20="Flat",Control!$C$21,VLOOKUP(Model!$A155,Euro!$B$29:$D$182,3)),0)</f>
        <v>#VALUE!</v>
      </c>
      <c r="F155" s="203" t="e">
        <f aca="false">E155*B155</f>
        <v>#VALUE!</v>
      </c>
      <c r="H155" s="204" t="e">
        <f aca="false">IF(Control!$C$27="Mid",VLOOKUP($A155,CurveFetch!$D$8:$F$367,3),VLOOKUP($A155,Euro!$B$29:$I$182,8))</f>
        <v>#VALUE!</v>
      </c>
      <c r="I155" s="204"/>
      <c r="J155" s="204" t="e">
        <f aca="false">IF($J$4="Mid",VLOOKUP($A155,Curve_Fetch,VLOOKUP(Control!$AJ$10,Control!$AI$11:$AK$22,3)),VLOOKUP($A155,Euro!$B$29:$M$182,12))</f>
        <v>#VALUE!</v>
      </c>
      <c r="K155" s="205" t="e">
        <f aca="false">IF(Control!$F$18="Physical",IF($K$4="Mid",VLOOKUP($A155,Curve_Fetch,VLOOKUP(Control!$AJ$10,Control!$AI$11:$AL$22,4)),VLOOKUP($A155,Euro!$B$29:$Q$182,16)),0)</f>
        <v>#VALUE!</v>
      </c>
      <c r="L155" s="204" t="e">
        <f aca="false">SUM(J155:K155)</f>
        <v>#VALUE!</v>
      </c>
      <c r="M155" s="204"/>
      <c r="N155" s="206" t="e">
        <f aca="false">L155+H155</f>
        <v>#VALUE!</v>
      </c>
      <c r="O155" s="206" t="e">
        <f aca="false">N155+Control!$C$39</f>
        <v>#VALUE!</v>
      </c>
      <c r="P155" s="207" t="e">
        <f aca="false">VLOOKUP($A155,CurveFetch!$D$8:$E$367,2)</f>
        <v>#VALUE!</v>
      </c>
      <c r="Q155" s="208" t="e">
        <f aca="false">P155</f>
        <v>#VALUE!</v>
      </c>
      <c r="R155" s="209" t="e">
        <f aca="true">A155-1-TODAY()</f>
        <v>#VALUE!</v>
      </c>
      <c r="S155" s="210" t="e">
        <f aca="false">VLOOKUP($A155,Curve_Fetch,VLOOKUP(Control!$AJ$10,Control!$AI$11:$AM$22,5))</f>
        <v>#VALUE!</v>
      </c>
      <c r="T155" s="211" t="e">
        <f aca="false">EURO(N155,O155,P155,Q155,S155,R155,IF(Control!$C$38="Call",1,0),0)</f>
        <v>#NAME?</v>
      </c>
      <c r="U155" s="174" t="e">
        <f aca="false">T155*B155*E155</f>
        <v>#VALUE!</v>
      </c>
      <c r="V155" s="212"/>
      <c r="W155" s="213"/>
      <c r="X155" s="213"/>
      <c r="Y155" s="213"/>
      <c r="AA155" s="214"/>
      <c r="AB155" s="214"/>
      <c r="AC155" s="215"/>
      <c r="AD155" s="216"/>
      <c r="AE155" s="217"/>
      <c r="AF155" s="218"/>
      <c r="AG155" s="219"/>
      <c r="AH155" s="220"/>
      <c r="AI155" s="174"/>
      <c r="AJ155" s="171" t="e">
        <f aca="false">Y155-L155</f>
        <v>#VALUE!</v>
      </c>
      <c r="AL155" s="208" t="e">
        <f aca="false">VLOOKUP($C155,Curve_Fetch,2)+Cost_of_Funds</f>
        <v>#VALUE!</v>
      </c>
      <c r="AM155" s="210" t="e">
        <f aca="false">1/(1+AL155/2)^(2*(C155-Val_Date)/365.25)</f>
        <v>#VALUE!</v>
      </c>
      <c r="AO155" s="222" t="e">
        <f aca="false">$B155*$E155*$AM155</f>
        <v>#VALUE!</v>
      </c>
      <c r="AP155" s="222"/>
      <c r="AQ155" s="222" t="e">
        <f aca="false">H155*AO155</f>
        <v>#VALUE!</v>
      </c>
      <c r="AR155" s="222"/>
      <c r="AS155" s="174" t="e">
        <f aca="false">J155*$AO155</f>
        <v>#VALUE!</v>
      </c>
      <c r="AT155" s="174" t="e">
        <f aca="false">K155*$AO155</f>
        <v>#VALUE!</v>
      </c>
      <c r="AU155" s="174" t="e">
        <f aca="false">L155*$AO155</f>
        <v>#VALUE!</v>
      </c>
      <c r="AV155" s="174"/>
      <c r="AW155" s="174"/>
      <c r="AY155" s="220"/>
      <c r="AZ155" s="220"/>
      <c r="BA155" s="223"/>
      <c r="BC155" s="220"/>
      <c r="BE155" s="206"/>
    </row>
    <row r="156" customFormat="false" ht="12.75" hidden="false" customHeight="false" outlineLevel="0" collapsed="false">
      <c r="A156" s="167" t="e">
        <f aca="false">([1]!edate,A155,1)</f>
        <v>#VALUE!</v>
      </c>
      <c r="B156" s="201" t="e">
        <f aca="false">A157-A156</f>
        <v>#VALUE!</v>
      </c>
      <c r="C156" s="202" t="e">
        <f aca="false">IF(Control!$F$18="Physical",Model!A157+24,Model!A157)</f>
        <v>#VALUE!</v>
      </c>
      <c r="E156" s="203" t="e">
        <f aca="false">IF($A156&lt;End_Date,IF(Control!$C$20="Flat",Control!$C$21,VLOOKUP(Model!$A156,Euro!$B$29:$D$182,3)),0)</f>
        <v>#VALUE!</v>
      </c>
      <c r="F156" s="203" t="e">
        <f aca="false">E156*B156</f>
        <v>#VALUE!</v>
      </c>
      <c r="H156" s="204" t="e">
        <f aca="false">IF(Control!$C$27="Mid",VLOOKUP($A156,CurveFetch!$D$8:$F$367,3),VLOOKUP($A156,Euro!$B$29:$I$182,8))</f>
        <v>#VALUE!</v>
      </c>
      <c r="I156" s="204"/>
      <c r="J156" s="204" t="e">
        <f aca="false">IF($J$4="Mid",VLOOKUP($A156,Curve_Fetch,VLOOKUP(Control!$AJ$10,Control!$AI$11:$AK$22,3)),VLOOKUP($A156,Euro!$B$29:$M$182,12))</f>
        <v>#VALUE!</v>
      </c>
      <c r="K156" s="205" t="e">
        <f aca="false">IF(Control!$F$18="Physical",IF($K$4="Mid",VLOOKUP($A156,Curve_Fetch,VLOOKUP(Control!$AJ$10,Control!$AI$11:$AL$22,4)),VLOOKUP($A156,Euro!$B$29:$Q$182,16)),0)</f>
        <v>#VALUE!</v>
      </c>
      <c r="L156" s="204" t="e">
        <f aca="false">SUM(J156:K156)</f>
        <v>#VALUE!</v>
      </c>
      <c r="M156" s="204"/>
      <c r="N156" s="206" t="e">
        <f aca="false">L156+H156</f>
        <v>#VALUE!</v>
      </c>
      <c r="O156" s="206" t="e">
        <f aca="false">N156+Control!$C$39</f>
        <v>#VALUE!</v>
      </c>
      <c r="P156" s="207" t="e">
        <f aca="false">VLOOKUP($A156,CurveFetch!$D$8:$E$367,2)</f>
        <v>#VALUE!</v>
      </c>
      <c r="Q156" s="208" t="e">
        <f aca="false">P156</f>
        <v>#VALUE!</v>
      </c>
      <c r="R156" s="209" t="e">
        <f aca="true">A156-1-TODAY()</f>
        <v>#VALUE!</v>
      </c>
      <c r="S156" s="210" t="e">
        <f aca="false">VLOOKUP($A156,Curve_Fetch,VLOOKUP(Control!$AJ$10,Control!$AI$11:$AM$22,5))</f>
        <v>#VALUE!</v>
      </c>
      <c r="T156" s="211" t="e">
        <f aca="false">EURO(N156,O156,P156,Q156,S156,R156,IF(Control!$C$38="Call",1,0),0)</f>
        <v>#NAME?</v>
      </c>
      <c r="U156" s="174" t="e">
        <f aca="false">T156*B156*E156</f>
        <v>#VALUE!</v>
      </c>
      <c r="V156" s="212"/>
      <c r="W156" s="213"/>
      <c r="X156" s="213"/>
      <c r="Y156" s="213"/>
      <c r="AA156" s="214"/>
      <c r="AB156" s="214"/>
      <c r="AC156" s="215"/>
      <c r="AD156" s="216"/>
      <c r="AE156" s="217"/>
      <c r="AF156" s="218"/>
      <c r="AG156" s="219"/>
      <c r="AH156" s="220"/>
      <c r="AI156" s="174"/>
      <c r="AJ156" s="171" t="e">
        <f aca="false">Y156-L156</f>
        <v>#VALUE!</v>
      </c>
      <c r="AL156" s="208" t="e">
        <f aca="false">VLOOKUP($C156,Curve_Fetch,2)+Cost_of_Funds</f>
        <v>#VALUE!</v>
      </c>
      <c r="AM156" s="210" t="e">
        <f aca="false">1/(1+AL156/2)^(2*(C156-Val_Date)/365.25)</f>
        <v>#VALUE!</v>
      </c>
      <c r="AO156" s="222" t="e">
        <f aca="false">$B156*$E156*$AM156</f>
        <v>#VALUE!</v>
      </c>
      <c r="AP156" s="222"/>
      <c r="AQ156" s="222" t="e">
        <f aca="false">H156*AO156</f>
        <v>#VALUE!</v>
      </c>
      <c r="AR156" s="222"/>
      <c r="AS156" s="174" t="e">
        <f aca="false">J156*$AO156</f>
        <v>#VALUE!</v>
      </c>
      <c r="AT156" s="174" t="e">
        <f aca="false">K156*$AO156</f>
        <v>#VALUE!</v>
      </c>
      <c r="AU156" s="174" t="e">
        <f aca="false">L156*$AO156</f>
        <v>#VALUE!</v>
      </c>
      <c r="AV156" s="174"/>
      <c r="AW156" s="174"/>
      <c r="AY156" s="220"/>
      <c r="AZ156" s="220"/>
      <c r="BA156" s="223"/>
      <c r="BC156" s="220"/>
      <c r="BE156" s="206"/>
    </row>
    <row r="157" customFormat="false" ht="12.75" hidden="false" customHeight="false" outlineLevel="0" collapsed="false">
      <c r="A157" s="167" t="e">
        <f aca="false">([1]!edate,A156,1)</f>
        <v>#VALUE!</v>
      </c>
      <c r="B157" s="201" t="e">
        <f aca="false">A158-A157</f>
        <v>#VALUE!</v>
      </c>
      <c r="C157" s="202" t="e">
        <f aca="false">IF(Control!$F$18="Physical",Model!A158+24,Model!A158)</f>
        <v>#VALUE!</v>
      </c>
      <c r="E157" s="203" t="e">
        <f aca="false">IF($A157&lt;End_Date,IF(Control!$C$20="Flat",Control!$C$21,VLOOKUP(Model!$A157,Euro!$B$29:$D$182,3)),0)</f>
        <v>#VALUE!</v>
      </c>
      <c r="F157" s="203" t="e">
        <f aca="false">E157*B157</f>
        <v>#VALUE!</v>
      </c>
      <c r="H157" s="204" t="e">
        <f aca="false">IF(Control!$C$27="Mid",VLOOKUP($A157,CurveFetch!$D$8:$F$367,3),VLOOKUP($A157,Euro!$B$29:$I$182,8))</f>
        <v>#VALUE!</v>
      </c>
      <c r="I157" s="204"/>
      <c r="J157" s="204" t="e">
        <f aca="false">IF($J$4="Mid",VLOOKUP($A157,Curve_Fetch,VLOOKUP(Control!$AJ$10,Control!$AI$11:$AK$22,3)),VLOOKUP($A157,Euro!$B$29:$M$182,12))</f>
        <v>#VALUE!</v>
      </c>
      <c r="K157" s="205" t="e">
        <f aca="false">IF(Control!$F$18="Physical",IF($K$4="Mid",VLOOKUP($A157,Curve_Fetch,VLOOKUP(Control!$AJ$10,Control!$AI$11:$AL$22,4)),VLOOKUP($A157,Euro!$B$29:$Q$182,16)),0)</f>
        <v>#VALUE!</v>
      </c>
      <c r="L157" s="204" t="e">
        <f aca="false">SUM(J157:K157)</f>
        <v>#VALUE!</v>
      </c>
      <c r="M157" s="204"/>
      <c r="N157" s="206" t="e">
        <f aca="false">L157+H157</f>
        <v>#VALUE!</v>
      </c>
      <c r="O157" s="206" t="e">
        <f aca="false">N157+Control!$C$39</f>
        <v>#VALUE!</v>
      </c>
      <c r="P157" s="207" t="e">
        <f aca="false">VLOOKUP($A157,CurveFetch!$D$8:$E$367,2)</f>
        <v>#VALUE!</v>
      </c>
      <c r="Q157" s="208" t="e">
        <f aca="false">P157</f>
        <v>#VALUE!</v>
      </c>
      <c r="R157" s="209" t="e">
        <f aca="true">A157-1-TODAY()</f>
        <v>#VALUE!</v>
      </c>
      <c r="S157" s="210" t="e">
        <f aca="false">VLOOKUP($A157,Curve_Fetch,VLOOKUP(Control!$AJ$10,Control!$AI$11:$AM$22,5))</f>
        <v>#VALUE!</v>
      </c>
      <c r="T157" s="211" t="e">
        <f aca="false">EURO(N157,O157,P157,Q157,S157,R157,IF(Control!$C$38="Call",1,0),0)</f>
        <v>#NAME?</v>
      </c>
      <c r="U157" s="174" t="e">
        <f aca="false">T157*B157*E157</f>
        <v>#VALUE!</v>
      </c>
      <c r="V157" s="212"/>
      <c r="W157" s="213"/>
      <c r="X157" s="213"/>
      <c r="Y157" s="213"/>
      <c r="AA157" s="214"/>
      <c r="AB157" s="214"/>
      <c r="AC157" s="215"/>
      <c r="AD157" s="216"/>
      <c r="AE157" s="217"/>
      <c r="AF157" s="218"/>
      <c r="AG157" s="219"/>
      <c r="AH157" s="220"/>
      <c r="AI157" s="174"/>
      <c r="AJ157" s="171" t="e">
        <f aca="false">Y157-L157</f>
        <v>#VALUE!</v>
      </c>
      <c r="AL157" s="208" t="e">
        <f aca="false">VLOOKUP($C157,Curve_Fetch,2)+Cost_of_Funds</f>
        <v>#VALUE!</v>
      </c>
      <c r="AM157" s="210" t="e">
        <f aca="false">1/(1+AL157/2)^(2*(C157-Val_Date)/365.25)</f>
        <v>#VALUE!</v>
      </c>
      <c r="AO157" s="222" t="e">
        <f aca="false">$B157*$E157*$AM157</f>
        <v>#VALUE!</v>
      </c>
      <c r="AP157" s="222"/>
      <c r="AQ157" s="222" t="e">
        <f aca="false">H157*AO157</f>
        <v>#VALUE!</v>
      </c>
      <c r="AR157" s="222"/>
      <c r="AS157" s="174" t="e">
        <f aca="false">J157*$AO157</f>
        <v>#VALUE!</v>
      </c>
      <c r="AT157" s="174" t="e">
        <f aca="false">K157*$AO157</f>
        <v>#VALUE!</v>
      </c>
      <c r="AU157" s="174" t="e">
        <f aca="false">L157*$AO157</f>
        <v>#VALUE!</v>
      </c>
      <c r="AV157" s="174"/>
      <c r="AW157" s="174"/>
      <c r="AY157" s="220"/>
      <c r="AZ157" s="220"/>
      <c r="BA157" s="223"/>
      <c r="BC157" s="220"/>
      <c r="BE157" s="206"/>
    </row>
    <row r="158" customFormat="false" ht="12.75" hidden="false" customHeight="false" outlineLevel="0" collapsed="false">
      <c r="A158" s="167" t="e">
        <f aca="false">([1]!edate,A157,1)</f>
        <v>#VALUE!</v>
      </c>
      <c r="B158" s="201" t="e">
        <f aca="false">A159-A158</f>
        <v>#VALUE!</v>
      </c>
      <c r="C158" s="202" t="e">
        <f aca="false">IF(Control!$F$18="Physical",Model!A159+24,Model!A159)</f>
        <v>#VALUE!</v>
      </c>
      <c r="E158" s="203" t="e">
        <f aca="false">IF($A158&lt;End_Date,IF(Control!$C$20="Flat",Control!$C$21,VLOOKUP(Model!$A158,Euro!$B$29:$D$182,3)),0)</f>
        <v>#VALUE!</v>
      </c>
      <c r="F158" s="203" t="e">
        <f aca="false">E158*B158</f>
        <v>#VALUE!</v>
      </c>
      <c r="H158" s="204" t="e">
        <f aca="false">IF(Control!$C$27="Mid",VLOOKUP($A158,CurveFetch!$D$8:$F$367,3),VLOOKUP($A158,Euro!$B$29:$I$182,8))</f>
        <v>#VALUE!</v>
      </c>
      <c r="I158" s="204"/>
      <c r="J158" s="204" t="e">
        <f aca="false">IF($J$4="Mid",VLOOKUP($A158,Curve_Fetch,VLOOKUP(Control!$AJ$10,Control!$AI$11:$AK$22,3)),VLOOKUP($A158,Euro!$B$29:$M$182,12))</f>
        <v>#VALUE!</v>
      </c>
      <c r="K158" s="205" t="e">
        <f aca="false">IF(Control!$F$18="Physical",IF($K$4="Mid",VLOOKUP($A158,Curve_Fetch,VLOOKUP(Control!$AJ$10,Control!$AI$11:$AL$22,4)),VLOOKUP($A158,Euro!$B$29:$Q$182,16)),0)</f>
        <v>#VALUE!</v>
      </c>
      <c r="L158" s="204" t="e">
        <f aca="false">SUM(J158:K158)</f>
        <v>#VALUE!</v>
      </c>
      <c r="M158" s="204"/>
      <c r="N158" s="206" t="e">
        <f aca="false">L158+H158</f>
        <v>#VALUE!</v>
      </c>
      <c r="O158" s="206" t="e">
        <f aca="false">N158+Control!$C$39</f>
        <v>#VALUE!</v>
      </c>
      <c r="P158" s="207" t="e">
        <f aca="false">VLOOKUP($A158,CurveFetch!$D$8:$E$367,2)</f>
        <v>#VALUE!</v>
      </c>
      <c r="Q158" s="208" t="e">
        <f aca="false">P158</f>
        <v>#VALUE!</v>
      </c>
      <c r="R158" s="209" t="e">
        <f aca="true">A158-1-TODAY()</f>
        <v>#VALUE!</v>
      </c>
      <c r="S158" s="210" t="e">
        <f aca="false">VLOOKUP($A158,Curve_Fetch,VLOOKUP(Control!$AJ$10,Control!$AI$11:$AM$22,5))</f>
        <v>#VALUE!</v>
      </c>
      <c r="T158" s="211" t="e">
        <f aca="false">EURO(N158,O158,P158,Q158,S158,R158,IF(Control!$C$38="Call",1,0),0)</f>
        <v>#NAME?</v>
      </c>
      <c r="U158" s="174" t="e">
        <f aca="false">T158*B158*E158</f>
        <v>#VALUE!</v>
      </c>
      <c r="V158" s="212"/>
      <c r="W158" s="213"/>
      <c r="X158" s="213"/>
      <c r="Y158" s="213"/>
      <c r="AA158" s="214"/>
      <c r="AB158" s="214"/>
      <c r="AC158" s="215"/>
      <c r="AD158" s="216"/>
      <c r="AE158" s="217"/>
      <c r="AF158" s="218"/>
      <c r="AG158" s="219"/>
      <c r="AH158" s="220"/>
      <c r="AI158" s="174"/>
      <c r="AJ158" s="171" t="e">
        <f aca="false">Y158-L158</f>
        <v>#VALUE!</v>
      </c>
      <c r="AL158" s="208" t="e">
        <f aca="false">VLOOKUP($C158,Curve_Fetch,2)+Cost_of_Funds</f>
        <v>#VALUE!</v>
      </c>
      <c r="AM158" s="210" t="e">
        <f aca="false">1/(1+AL158/2)^(2*(C158-Val_Date)/365.25)</f>
        <v>#VALUE!</v>
      </c>
      <c r="AO158" s="222" t="e">
        <f aca="false">$B158*$E158*$AM158</f>
        <v>#VALUE!</v>
      </c>
      <c r="AP158" s="222"/>
      <c r="AQ158" s="222" t="e">
        <f aca="false">H158*AO158</f>
        <v>#VALUE!</v>
      </c>
      <c r="AR158" s="222"/>
      <c r="AS158" s="174" t="e">
        <f aca="false">J158*$AO158</f>
        <v>#VALUE!</v>
      </c>
      <c r="AT158" s="174" t="e">
        <f aca="false">K158*$AO158</f>
        <v>#VALUE!</v>
      </c>
      <c r="AU158" s="174" t="e">
        <f aca="false">L158*$AO158</f>
        <v>#VALUE!</v>
      </c>
      <c r="AV158" s="174"/>
      <c r="AW158" s="174"/>
      <c r="AY158" s="220"/>
      <c r="AZ158" s="220"/>
      <c r="BA158" s="223"/>
      <c r="BC158" s="220"/>
      <c r="BE158" s="206"/>
    </row>
    <row r="159" customFormat="false" ht="12.75" hidden="false" customHeight="false" outlineLevel="0" collapsed="false">
      <c r="A159" s="167" t="e">
        <f aca="false">([1]!edate,A158,1)</f>
        <v>#VALUE!</v>
      </c>
      <c r="B159" s="201" t="e">
        <f aca="false">A160-A159</f>
        <v>#VALUE!</v>
      </c>
      <c r="C159" s="202" t="e">
        <f aca="false">IF(Control!$F$18="Physical",Model!A160+24,Model!A160)</f>
        <v>#VALUE!</v>
      </c>
      <c r="E159" s="203" t="e">
        <f aca="false">IF($A159&lt;End_Date,IF(Control!$C$20="Flat",Control!$C$21,VLOOKUP(Model!$A159,Euro!$B$29:$D$182,3)),0)</f>
        <v>#VALUE!</v>
      </c>
      <c r="F159" s="203" t="e">
        <f aca="false">E159*B159</f>
        <v>#VALUE!</v>
      </c>
      <c r="H159" s="204" t="e">
        <f aca="false">IF(Control!$C$27="Mid",VLOOKUP($A159,CurveFetch!$D$8:$F$367,3),VLOOKUP($A159,Euro!$B$29:$I$182,8))</f>
        <v>#VALUE!</v>
      </c>
      <c r="I159" s="204"/>
      <c r="J159" s="204" t="e">
        <f aca="false">IF($J$4="Mid",VLOOKUP($A159,Curve_Fetch,VLOOKUP(Control!$AJ$10,Control!$AI$11:$AK$22,3)),VLOOKUP($A159,Euro!$B$29:$M$182,12))</f>
        <v>#VALUE!</v>
      </c>
      <c r="K159" s="205" t="e">
        <f aca="false">IF(Control!$F$18="Physical",IF($K$4="Mid",VLOOKUP($A159,Curve_Fetch,VLOOKUP(Control!$AJ$10,Control!$AI$11:$AL$22,4)),VLOOKUP($A159,Euro!$B$29:$Q$182,16)),0)</f>
        <v>#VALUE!</v>
      </c>
      <c r="L159" s="204" t="e">
        <f aca="false">SUM(J159:K159)</f>
        <v>#VALUE!</v>
      </c>
      <c r="M159" s="204"/>
      <c r="N159" s="206" t="e">
        <f aca="false">L159+H159</f>
        <v>#VALUE!</v>
      </c>
      <c r="O159" s="206" t="e">
        <f aca="false">N159+Control!$C$39</f>
        <v>#VALUE!</v>
      </c>
      <c r="P159" s="207" t="e">
        <f aca="false">VLOOKUP($A159,CurveFetch!$D$8:$E$367,2)</f>
        <v>#VALUE!</v>
      </c>
      <c r="Q159" s="208" t="e">
        <f aca="false">P159</f>
        <v>#VALUE!</v>
      </c>
      <c r="R159" s="209" t="e">
        <f aca="true">A159-1-TODAY()</f>
        <v>#VALUE!</v>
      </c>
      <c r="S159" s="210" t="e">
        <f aca="false">VLOOKUP($A159,Curve_Fetch,VLOOKUP(Control!$AJ$10,Control!$AI$11:$AM$22,5))</f>
        <v>#VALUE!</v>
      </c>
      <c r="T159" s="211" t="e">
        <f aca="false">EURO(N159,O159,P159,Q159,S159,R159,IF(Control!$C$38="Call",1,0),0)</f>
        <v>#NAME?</v>
      </c>
      <c r="U159" s="174" t="e">
        <f aca="false">T159*B159*E159</f>
        <v>#VALUE!</v>
      </c>
      <c r="V159" s="212"/>
      <c r="W159" s="213"/>
      <c r="X159" s="213"/>
      <c r="Y159" s="213"/>
      <c r="AA159" s="214"/>
      <c r="AB159" s="214"/>
      <c r="AC159" s="215"/>
      <c r="AD159" s="216"/>
      <c r="AE159" s="217"/>
      <c r="AF159" s="218"/>
      <c r="AG159" s="219"/>
      <c r="AH159" s="220"/>
      <c r="AI159" s="174"/>
      <c r="AJ159" s="171" t="e">
        <f aca="false">Y159-L159</f>
        <v>#VALUE!</v>
      </c>
      <c r="AL159" s="208" t="e">
        <f aca="false">VLOOKUP($C159,Curve_Fetch,2)+Cost_of_Funds</f>
        <v>#VALUE!</v>
      </c>
      <c r="AM159" s="210" t="e">
        <f aca="false">1/(1+AL159/2)^(2*(C159-Val_Date)/365.25)</f>
        <v>#VALUE!</v>
      </c>
      <c r="AO159" s="222" t="e">
        <f aca="false">$B159*$E159*$AM159</f>
        <v>#VALUE!</v>
      </c>
      <c r="AP159" s="222"/>
      <c r="AQ159" s="222" t="e">
        <f aca="false">H159*AO159</f>
        <v>#VALUE!</v>
      </c>
      <c r="AR159" s="222"/>
      <c r="AS159" s="174" t="e">
        <f aca="false">J159*$AO159</f>
        <v>#VALUE!</v>
      </c>
      <c r="AT159" s="174" t="e">
        <f aca="false">K159*$AO159</f>
        <v>#VALUE!</v>
      </c>
      <c r="AU159" s="174" t="e">
        <f aca="false">L159*$AO159</f>
        <v>#VALUE!</v>
      </c>
      <c r="AV159" s="174"/>
      <c r="AW159" s="174"/>
      <c r="AY159" s="220"/>
      <c r="AZ159" s="220"/>
      <c r="BA159" s="223"/>
      <c r="BC159" s="220"/>
      <c r="BE159" s="206"/>
    </row>
    <row r="160" customFormat="false" ht="12.75" hidden="false" customHeight="false" outlineLevel="0" collapsed="false">
      <c r="A160" s="167" t="e">
        <f aca="false">([1]!edate,A159,1)</f>
        <v>#VALUE!</v>
      </c>
      <c r="B160" s="201" t="e">
        <f aca="false">A161-A160</f>
        <v>#VALUE!</v>
      </c>
      <c r="C160" s="202" t="e">
        <f aca="false">IF(Control!$F$18="Physical",Model!A161+24,Model!A161)</f>
        <v>#VALUE!</v>
      </c>
      <c r="E160" s="203" t="e">
        <f aca="false">IF($A160&lt;End_Date,IF(Control!$C$20="Flat",Control!$C$21,VLOOKUP(Model!$A160,Euro!$B$29:$D$182,3)),0)</f>
        <v>#VALUE!</v>
      </c>
      <c r="F160" s="203" t="e">
        <f aca="false">E160*B160</f>
        <v>#VALUE!</v>
      </c>
      <c r="H160" s="204" t="e">
        <f aca="false">IF(Control!$C$27="Mid",VLOOKUP($A160,CurveFetch!$D$8:$F$367,3),VLOOKUP($A160,Euro!$B$29:$I$182,8))</f>
        <v>#VALUE!</v>
      </c>
      <c r="I160" s="204"/>
      <c r="J160" s="204" t="e">
        <f aca="false">IF($J$4="Mid",VLOOKUP($A160,Curve_Fetch,VLOOKUP(Control!$AJ$10,Control!$AI$11:$AK$22,3)),VLOOKUP($A160,Euro!$B$29:$M$182,12))</f>
        <v>#VALUE!</v>
      </c>
      <c r="K160" s="205" t="e">
        <f aca="false">IF(Control!$F$18="Physical",IF($K$4="Mid",VLOOKUP($A160,Curve_Fetch,VLOOKUP(Control!$AJ$10,Control!$AI$11:$AL$22,4)),VLOOKUP($A160,Euro!$B$29:$Q$182,16)),0)</f>
        <v>#VALUE!</v>
      </c>
      <c r="L160" s="204" t="e">
        <f aca="false">SUM(J160:K160)</f>
        <v>#VALUE!</v>
      </c>
      <c r="M160" s="204"/>
      <c r="N160" s="206" t="e">
        <f aca="false">L160+H160</f>
        <v>#VALUE!</v>
      </c>
      <c r="O160" s="206" t="e">
        <f aca="false">N160+Control!$C$39</f>
        <v>#VALUE!</v>
      </c>
      <c r="P160" s="207" t="e">
        <f aca="false">VLOOKUP($A160,CurveFetch!$D$8:$E$367,2)</f>
        <v>#VALUE!</v>
      </c>
      <c r="Q160" s="208" t="e">
        <f aca="false">P160</f>
        <v>#VALUE!</v>
      </c>
      <c r="R160" s="209" t="e">
        <f aca="true">A160-1-TODAY()</f>
        <v>#VALUE!</v>
      </c>
      <c r="S160" s="210" t="e">
        <f aca="false">VLOOKUP($A160,Curve_Fetch,VLOOKUP(Control!$AJ$10,Control!$AI$11:$AM$22,5))</f>
        <v>#VALUE!</v>
      </c>
      <c r="T160" s="211" t="e">
        <f aca="false">EURO(N160,O160,P160,Q160,S160,R160,IF(Control!$C$38="Call",1,0),0)</f>
        <v>#NAME?</v>
      </c>
      <c r="U160" s="174" t="e">
        <f aca="false">T160*B160*E160</f>
        <v>#VALUE!</v>
      </c>
      <c r="V160" s="212"/>
      <c r="W160" s="213"/>
      <c r="X160" s="213"/>
      <c r="Y160" s="213"/>
      <c r="AA160" s="214"/>
      <c r="AB160" s="214"/>
      <c r="AC160" s="215"/>
      <c r="AD160" s="216"/>
      <c r="AE160" s="217"/>
      <c r="AF160" s="218"/>
      <c r="AG160" s="219"/>
      <c r="AH160" s="220"/>
      <c r="AI160" s="174"/>
      <c r="AJ160" s="171" t="e">
        <f aca="false">Y160-L160</f>
        <v>#VALUE!</v>
      </c>
      <c r="AL160" s="208" t="e">
        <f aca="false">VLOOKUP($C160,Curve_Fetch,2)+Cost_of_Funds</f>
        <v>#VALUE!</v>
      </c>
      <c r="AM160" s="210" t="e">
        <f aca="false">1/(1+AL160/2)^(2*(C160-Val_Date)/365.25)</f>
        <v>#VALUE!</v>
      </c>
      <c r="AO160" s="222" t="e">
        <f aca="false">$B160*$E160*$AM160</f>
        <v>#VALUE!</v>
      </c>
      <c r="AP160" s="222"/>
      <c r="AQ160" s="222" t="e">
        <f aca="false">H160*AO160</f>
        <v>#VALUE!</v>
      </c>
      <c r="AR160" s="222"/>
      <c r="AS160" s="174" t="e">
        <f aca="false">J160*$AO160</f>
        <v>#VALUE!</v>
      </c>
      <c r="AT160" s="174" t="e">
        <f aca="false">K160*$AO160</f>
        <v>#VALUE!</v>
      </c>
      <c r="AU160" s="174" t="e">
        <f aca="false">L160*$AO160</f>
        <v>#VALUE!</v>
      </c>
      <c r="AV160" s="174"/>
      <c r="AW160" s="174"/>
      <c r="AY160" s="220"/>
      <c r="AZ160" s="220"/>
      <c r="BA160" s="223"/>
      <c r="BC160" s="220"/>
      <c r="BE160" s="206"/>
    </row>
    <row r="161" customFormat="false" ht="12.75" hidden="false" customHeight="false" outlineLevel="0" collapsed="false">
      <c r="A161" s="167" t="e">
        <f aca="false">([1]!edate,A160,1)</f>
        <v>#VALUE!</v>
      </c>
      <c r="B161" s="201" t="e">
        <f aca="false">A162-A161</f>
        <v>#VALUE!</v>
      </c>
      <c r="C161" s="202" t="e">
        <f aca="false">IF(Control!$F$18="Physical",Model!A162+24,Model!A162)</f>
        <v>#VALUE!</v>
      </c>
      <c r="E161" s="203" t="e">
        <f aca="false">IF($A161&lt;End_Date,IF(Control!$C$20="Flat",Control!$C$21,VLOOKUP(Model!$A161,Euro!$B$29:$D$182,3)),0)</f>
        <v>#VALUE!</v>
      </c>
      <c r="F161" s="203" t="e">
        <f aca="false">E161*B161</f>
        <v>#VALUE!</v>
      </c>
      <c r="H161" s="204" t="e">
        <f aca="false">IF(Control!$C$27="Mid",VLOOKUP($A161,CurveFetch!$D$8:$F$367,3),VLOOKUP($A161,Euro!$B$29:$I$182,8))</f>
        <v>#VALUE!</v>
      </c>
      <c r="I161" s="204"/>
      <c r="J161" s="204" t="e">
        <f aca="false">IF($J$4="Mid",VLOOKUP($A161,Curve_Fetch,VLOOKUP(Control!$AJ$10,Control!$AI$11:$AK$22,3)),VLOOKUP($A161,Euro!$B$29:$M$182,12))</f>
        <v>#VALUE!</v>
      </c>
      <c r="K161" s="205" t="e">
        <f aca="false">IF(Control!$F$18="Physical",IF($K$4="Mid",VLOOKUP($A161,Curve_Fetch,VLOOKUP(Control!$AJ$10,Control!$AI$11:$AL$22,4)),VLOOKUP($A161,Euro!$B$29:$Q$182,16)),0)</f>
        <v>#VALUE!</v>
      </c>
      <c r="L161" s="204" t="e">
        <f aca="false">SUM(J161:K161)</f>
        <v>#VALUE!</v>
      </c>
      <c r="M161" s="204"/>
      <c r="N161" s="206" t="e">
        <f aca="false">L161+H161</f>
        <v>#VALUE!</v>
      </c>
      <c r="O161" s="206" t="e">
        <f aca="false">N161+Control!$C$39</f>
        <v>#VALUE!</v>
      </c>
      <c r="P161" s="207" t="e">
        <f aca="false">VLOOKUP($A161,CurveFetch!$D$8:$E$367,2)</f>
        <v>#VALUE!</v>
      </c>
      <c r="Q161" s="208" t="e">
        <f aca="false">P161</f>
        <v>#VALUE!</v>
      </c>
      <c r="R161" s="209" t="e">
        <f aca="true">A161-1-TODAY()</f>
        <v>#VALUE!</v>
      </c>
      <c r="S161" s="210" t="e">
        <f aca="false">VLOOKUP($A161,Curve_Fetch,VLOOKUP(Control!$AJ$10,Control!$AI$11:$AM$22,5))</f>
        <v>#VALUE!</v>
      </c>
      <c r="T161" s="211" t="e">
        <f aca="false">EURO(N161,O161,P161,Q161,S161,R161,IF(Control!$C$38="Call",1,0),0)</f>
        <v>#NAME?</v>
      </c>
      <c r="U161" s="174" t="e">
        <f aca="false">T161*B161*E161</f>
        <v>#VALUE!</v>
      </c>
      <c r="V161" s="212"/>
      <c r="W161" s="213"/>
      <c r="X161" s="213"/>
      <c r="Y161" s="213"/>
      <c r="AA161" s="214"/>
      <c r="AB161" s="214"/>
      <c r="AC161" s="215"/>
      <c r="AD161" s="216"/>
      <c r="AE161" s="217"/>
      <c r="AF161" s="218"/>
      <c r="AG161" s="219"/>
      <c r="AH161" s="220"/>
      <c r="AI161" s="174"/>
      <c r="AJ161" s="171" t="e">
        <f aca="false">Y161-L161</f>
        <v>#VALUE!</v>
      </c>
      <c r="AL161" s="208" t="e">
        <f aca="false">VLOOKUP($C161,Curve_Fetch,2)+Cost_of_Funds</f>
        <v>#VALUE!</v>
      </c>
      <c r="AM161" s="210" t="e">
        <f aca="false">1/(1+AL161/2)^(2*(C161-Val_Date)/365.25)</f>
        <v>#VALUE!</v>
      </c>
      <c r="AO161" s="222" t="e">
        <f aca="false">$B161*$E161*$AM161</f>
        <v>#VALUE!</v>
      </c>
      <c r="AP161" s="222"/>
      <c r="AQ161" s="222" t="e">
        <f aca="false">H161*AO161</f>
        <v>#VALUE!</v>
      </c>
      <c r="AR161" s="222"/>
      <c r="AS161" s="174" t="e">
        <f aca="false">J161*$AO161</f>
        <v>#VALUE!</v>
      </c>
      <c r="AT161" s="174" t="e">
        <f aca="false">K161*$AO161</f>
        <v>#VALUE!</v>
      </c>
      <c r="AU161" s="174" t="e">
        <f aca="false">L161*$AO161</f>
        <v>#VALUE!</v>
      </c>
      <c r="AV161" s="174"/>
      <c r="AW161" s="174"/>
      <c r="AY161" s="220"/>
      <c r="AZ161" s="220"/>
      <c r="BA161" s="223"/>
      <c r="BC161" s="220"/>
      <c r="BE161" s="206"/>
    </row>
    <row r="162" customFormat="false" ht="12.75" hidden="false" customHeight="false" outlineLevel="0" collapsed="false">
      <c r="A162" s="167" t="e">
        <f aca="false">([1]!edate,A161,1)</f>
        <v>#VALUE!</v>
      </c>
      <c r="B162" s="201" t="e">
        <f aca="false">A163-A162</f>
        <v>#VALUE!</v>
      </c>
      <c r="C162" s="202" t="e">
        <f aca="false">IF(Control!$F$18="Physical",Model!A163+24,Model!A163)</f>
        <v>#VALUE!</v>
      </c>
      <c r="E162" s="203" t="e">
        <f aca="false">IF($A162&lt;End_Date,IF(Control!$C$20="Flat",Control!$C$21,VLOOKUP(Model!$A162,Euro!$B$29:$D$182,3)),0)</f>
        <v>#VALUE!</v>
      </c>
      <c r="F162" s="203" t="e">
        <f aca="false">E162*B162</f>
        <v>#VALUE!</v>
      </c>
      <c r="H162" s="204" t="e">
        <f aca="false">IF(Control!$C$27="Mid",VLOOKUP($A162,CurveFetch!$D$8:$F$367,3),VLOOKUP($A162,Euro!$B$29:$I$182,8))</f>
        <v>#VALUE!</v>
      </c>
      <c r="I162" s="204"/>
      <c r="J162" s="204" t="e">
        <f aca="false">IF($J$4="Mid",VLOOKUP($A162,Curve_Fetch,VLOOKUP(Control!$AJ$10,Control!$AI$11:$AK$22,3)),VLOOKUP($A162,Euro!$B$29:$M$182,12))</f>
        <v>#VALUE!</v>
      </c>
      <c r="K162" s="205" t="e">
        <f aca="false">IF(Control!$F$18="Physical",IF($K$4="Mid",VLOOKUP($A162,Curve_Fetch,VLOOKUP(Control!$AJ$10,Control!$AI$11:$AL$22,4)),VLOOKUP($A162,Euro!$B$29:$Q$182,16)),0)</f>
        <v>#VALUE!</v>
      </c>
      <c r="L162" s="204" t="e">
        <f aca="false">SUM(J162:K162)</f>
        <v>#VALUE!</v>
      </c>
      <c r="M162" s="204"/>
      <c r="N162" s="206" t="e">
        <f aca="false">L162+H162</f>
        <v>#VALUE!</v>
      </c>
      <c r="O162" s="206" t="e">
        <f aca="false">N162+Control!$C$39</f>
        <v>#VALUE!</v>
      </c>
      <c r="P162" s="207" t="e">
        <f aca="false">VLOOKUP($A162,CurveFetch!$D$8:$E$367,2)</f>
        <v>#VALUE!</v>
      </c>
      <c r="Q162" s="208" t="e">
        <f aca="false">P162</f>
        <v>#VALUE!</v>
      </c>
      <c r="R162" s="209" t="e">
        <f aca="true">A162-1-TODAY()</f>
        <v>#VALUE!</v>
      </c>
      <c r="S162" s="210" t="e">
        <f aca="false">VLOOKUP($A162,Curve_Fetch,VLOOKUP(Control!$AJ$10,Control!$AI$11:$AM$22,5))</f>
        <v>#VALUE!</v>
      </c>
      <c r="T162" s="211" t="e">
        <f aca="false">EURO(N162,O162,P162,Q162,S162,R162,IF(Control!$C$38="Call",1,0),0)</f>
        <v>#NAME?</v>
      </c>
      <c r="U162" s="174" t="e">
        <f aca="false">T162*B162*E162</f>
        <v>#VALUE!</v>
      </c>
      <c r="V162" s="212"/>
      <c r="W162" s="213"/>
      <c r="X162" s="213"/>
      <c r="Y162" s="213"/>
      <c r="AA162" s="214"/>
      <c r="AB162" s="214"/>
      <c r="AC162" s="215"/>
      <c r="AD162" s="216"/>
      <c r="AE162" s="217"/>
      <c r="AF162" s="218"/>
      <c r="AG162" s="219"/>
      <c r="AH162" s="220"/>
      <c r="AI162" s="174"/>
      <c r="AJ162" s="171" t="e">
        <f aca="false">Y162-L162</f>
        <v>#VALUE!</v>
      </c>
      <c r="AL162" s="208" t="e">
        <f aca="false">VLOOKUP($C162,Curve_Fetch,2)+Cost_of_Funds</f>
        <v>#VALUE!</v>
      </c>
      <c r="AM162" s="210" t="e">
        <f aca="false">1/(1+AL162/2)^(2*(C162-Val_Date)/365.25)</f>
        <v>#VALUE!</v>
      </c>
      <c r="AO162" s="222" t="e">
        <f aca="false">$B162*$E162*$AM162</f>
        <v>#VALUE!</v>
      </c>
      <c r="AP162" s="222"/>
      <c r="AQ162" s="222" t="e">
        <f aca="false">H162*AO162</f>
        <v>#VALUE!</v>
      </c>
      <c r="AR162" s="222"/>
      <c r="AS162" s="174" t="e">
        <f aca="false">J162*$AO162</f>
        <v>#VALUE!</v>
      </c>
      <c r="AT162" s="174" t="e">
        <f aca="false">K162*$AO162</f>
        <v>#VALUE!</v>
      </c>
      <c r="AU162" s="174" t="e">
        <f aca="false">L162*$AO162</f>
        <v>#VALUE!</v>
      </c>
      <c r="AV162" s="174"/>
      <c r="AW162" s="174"/>
      <c r="AY162" s="220"/>
      <c r="AZ162" s="220"/>
      <c r="BA162" s="223"/>
      <c r="BC162" s="220"/>
      <c r="BE162" s="206"/>
    </row>
    <row r="163" customFormat="false" ht="12.75" hidden="false" customHeight="false" outlineLevel="0" collapsed="false">
      <c r="A163" s="167" t="e">
        <f aca="false">([1]!edate,A162,1)</f>
        <v>#VALUE!</v>
      </c>
      <c r="B163" s="201" t="e">
        <f aca="false">A164-A163</f>
        <v>#VALUE!</v>
      </c>
      <c r="C163" s="202" t="e">
        <f aca="false">IF(Control!$F$18="Physical",Model!A164+24,Model!A164)</f>
        <v>#VALUE!</v>
      </c>
      <c r="E163" s="203" t="e">
        <f aca="false">IF($A163&lt;End_Date,IF(Control!$C$20="Flat",Control!$C$21,VLOOKUP(Model!$A163,Euro!$B$29:$D$182,3)),0)</f>
        <v>#VALUE!</v>
      </c>
      <c r="F163" s="203" t="e">
        <f aca="false">E163*B163</f>
        <v>#VALUE!</v>
      </c>
      <c r="H163" s="204" t="e">
        <f aca="false">IF(Control!$C$27="Mid",VLOOKUP($A163,CurveFetch!$D$8:$F$367,3),VLOOKUP($A163,Euro!$B$29:$I$182,8))</f>
        <v>#VALUE!</v>
      </c>
      <c r="I163" s="204"/>
      <c r="J163" s="204" t="e">
        <f aca="false">IF($J$4="Mid",VLOOKUP($A163,Curve_Fetch,VLOOKUP(Control!$AJ$10,Control!$AI$11:$AK$22,3)),VLOOKUP($A163,Euro!$B$29:$M$182,12))</f>
        <v>#VALUE!</v>
      </c>
      <c r="K163" s="205" t="e">
        <f aca="false">IF(Control!$F$18="Physical",IF($K$4="Mid",VLOOKUP($A163,Curve_Fetch,VLOOKUP(Control!$AJ$10,Control!$AI$11:$AL$22,4)),VLOOKUP($A163,Euro!$B$29:$Q$182,16)),0)</f>
        <v>#VALUE!</v>
      </c>
      <c r="L163" s="204" t="e">
        <f aca="false">SUM(J163:K163)</f>
        <v>#VALUE!</v>
      </c>
      <c r="M163" s="204"/>
      <c r="N163" s="206" t="e">
        <f aca="false">L163+H163</f>
        <v>#VALUE!</v>
      </c>
      <c r="O163" s="206" t="e">
        <f aca="false">N163+Control!$C$39</f>
        <v>#VALUE!</v>
      </c>
      <c r="P163" s="207" t="e">
        <f aca="false">VLOOKUP($A163,CurveFetch!$D$8:$E$367,2)</f>
        <v>#VALUE!</v>
      </c>
      <c r="Q163" s="208" t="e">
        <f aca="false">P163</f>
        <v>#VALUE!</v>
      </c>
      <c r="R163" s="209" t="e">
        <f aca="true">A163-1-TODAY()</f>
        <v>#VALUE!</v>
      </c>
      <c r="S163" s="210" t="e">
        <f aca="false">VLOOKUP($A163,Curve_Fetch,VLOOKUP(Control!$AJ$10,Control!$AI$11:$AM$22,5))</f>
        <v>#VALUE!</v>
      </c>
      <c r="T163" s="211" t="e">
        <f aca="false">EURO(N163,O163,P163,Q163,S163,R163,IF(Control!$C$38="Call",1,0),0)</f>
        <v>#NAME?</v>
      </c>
      <c r="U163" s="174" t="e">
        <f aca="false">T163*B163*E163</f>
        <v>#VALUE!</v>
      </c>
      <c r="V163" s="212"/>
      <c r="W163" s="213"/>
      <c r="X163" s="213"/>
      <c r="Y163" s="213"/>
      <c r="AA163" s="214"/>
      <c r="AB163" s="214"/>
      <c r="AC163" s="215"/>
      <c r="AD163" s="216"/>
      <c r="AE163" s="217"/>
      <c r="AF163" s="218"/>
      <c r="AG163" s="219"/>
      <c r="AH163" s="220"/>
      <c r="AI163" s="174"/>
      <c r="AJ163" s="171" t="e">
        <f aca="false">Y163-L163</f>
        <v>#VALUE!</v>
      </c>
      <c r="AL163" s="208" t="e">
        <f aca="false">VLOOKUP($C163,Curve_Fetch,2)+Cost_of_Funds</f>
        <v>#VALUE!</v>
      </c>
      <c r="AM163" s="210" t="e">
        <f aca="false">1/(1+AL163/2)^(2*(C163-Val_Date)/365.25)</f>
        <v>#VALUE!</v>
      </c>
      <c r="AO163" s="222" t="e">
        <f aca="false">$B163*$E163*$AM163</f>
        <v>#VALUE!</v>
      </c>
      <c r="AP163" s="222"/>
      <c r="AQ163" s="222" t="e">
        <f aca="false">H163*AO163</f>
        <v>#VALUE!</v>
      </c>
      <c r="AR163" s="222"/>
      <c r="AS163" s="174" t="e">
        <f aca="false">J163*$AO163</f>
        <v>#VALUE!</v>
      </c>
      <c r="AT163" s="174" t="e">
        <f aca="false">K163*$AO163</f>
        <v>#VALUE!</v>
      </c>
      <c r="AU163" s="174" t="e">
        <f aca="false">L163*$AO163</f>
        <v>#VALUE!</v>
      </c>
      <c r="AV163" s="174"/>
      <c r="AW163" s="174"/>
      <c r="AY163" s="220"/>
      <c r="AZ163" s="220"/>
      <c r="BA163" s="223"/>
      <c r="BC163" s="220"/>
      <c r="BE163" s="206"/>
    </row>
    <row r="164" customFormat="false" ht="12.75" hidden="false" customHeight="false" outlineLevel="0" collapsed="false">
      <c r="A164" s="167" t="e">
        <f aca="false">([1]!edate,A163,1)</f>
        <v>#VALUE!</v>
      </c>
      <c r="B164" s="201" t="e">
        <f aca="false">A165-A164</f>
        <v>#VALUE!</v>
      </c>
      <c r="C164" s="202" t="e">
        <f aca="false">IF(Control!$F$18="Physical",Model!A165+24,Model!A165)</f>
        <v>#VALUE!</v>
      </c>
      <c r="E164" s="203" t="e">
        <f aca="false">IF($A164&lt;End_Date,IF(Control!$C$20="Flat",Control!$C$21,VLOOKUP(Model!$A164,Euro!$B$29:$D$182,3)),0)</f>
        <v>#VALUE!</v>
      </c>
      <c r="F164" s="203" t="e">
        <f aca="false">E164*B164</f>
        <v>#VALUE!</v>
      </c>
      <c r="H164" s="204" t="e">
        <f aca="false">IF(Control!$C$27="Mid",VLOOKUP($A164,CurveFetch!$D$8:$F$367,3),VLOOKUP($A164,Euro!$B$29:$I$182,8))</f>
        <v>#VALUE!</v>
      </c>
      <c r="I164" s="204"/>
      <c r="J164" s="204" t="e">
        <f aca="false">IF($J$4="Mid",VLOOKUP($A164,Curve_Fetch,VLOOKUP(Control!$AJ$10,Control!$AI$11:$AK$22,3)),VLOOKUP($A164,Euro!$B$29:$M$182,12))</f>
        <v>#VALUE!</v>
      </c>
      <c r="K164" s="205" t="e">
        <f aca="false">IF(Control!$F$18="Physical",IF($K$4="Mid",VLOOKUP($A164,Curve_Fetch,VLOOKUP(Control!$AJ$10,Control!$AI$11:$AL$22,4)),VLOOKUP($A164,Euro!$B$29:$Q$182,16)),0)</f>
        <v>#VALUE!</v>
      </c>
      <c r="L164" s="204" t="e">
        <f aca="false">SUM(J164:K164)</f>
        <v>#VALUE!</v>
      </c>
      <c r="M164" s="204"/>
      <c r="N164" s="206" t="e">
        <f aca="false">L164+H164</f>
        <v>#VALUE!</v>
      </c>
      <c r="O164" s="206" t="e">
        <f aca="false">N164+Control!$C$39</f>
        <v>#VALUE!</v>
      </c>
      <c r="P164" s="207" t="e">
        <f aca="false">VLOOKUP($A164,CurveFetch!$D$8:$E$367,2)</f>
        <v>#VALUE!</v>
      </c>
      <c r="Q164" s="208" t="e">
        <f aca="false">P164</f>
        <v>#VALUE!</v>
      </c>
      <c r="R164" s="209" t="e">
        <f aca="true">A164-1-TODAY()</f>
        <v>#VALUE!</v>
      </c>
      <c r="S164" s="210" t="e">
        <f aca="false">VLOOKUP($A164,Curve_Fetch,VLOOKUP(Control!$AJ$10,Control!$AI$11:$AM$22,5))</f>
        <v>#VALUE!</v>
      </c>
      <c r="T164" s="211" t="e">
        <f aca="false">EURO(N164,O164,P164,Q164,S164,R164,IF(Control!$C$38="Call",1,0),0)</f>
        <v>#NAME?</v>
      </c>
      <c r="U164" s="174" t="e">
        <f aca="false">T164*B164*E164</f>
        <v>#VALUE!</v>
      </c>
      <c r="V164" s="212"/>
      <c r="W164" s="213"/>
      <c r="X164" s="213"/>
      <c r="Y164" s="213"/>
      <c r="AA164" s="214"/>
      <c r="AB164" s="214"/>
      <c r="AC164" s="215"/>
      <c r="AD164" s="216"/>
      <c r="AE164" s="217"/>
      <c r="AF164" s="218"/>
      <c r="AG164" s="219"/>
      <c r="AH164" s="220"/>
      <c r="AI164" s="174"/>
      <c r="AJ164" s="171" t="e">
        <f aca="false">Y164-L164</f>
        <v>#VALUE!</v>
      </c>
      <c r="AL164" s="208" t="e">
        <f aca="false">VLOOKUP($C164,Curve_Fetch,2)+Cost_of_Funds</f>
        <v>#VALUE!</v>
      </c>
      <c r="AM164" s="210" t="e">
        <f aca="false">1/(1+AL164/2)^(2*(C164-Val_Date)/365.25)</f>
        <v>#VALUE!</v>
      </c>
      <c r="AO164" s="222" t="e">
        <f aca="false">$B164*$E164*$AM164</f>
        <v>#VALUE!</v>
      </c>
      <c r="AP164" s="222"/>
      <c r="AQ164" s="222" t="e">
        <f aca="false">H164*AO164</f>
        <v>#VALUE!</v>
      </c>
      <c r="AR164" s="222"/>
      <c r="AS164" s="174" t="e">
        <f aca="false">J164*$AO164</f>
        <v>#VALUE!</v>
      </c>
      <c r="AT164" s="174" t="e">
        <f aca="false">K164*$AO164</f>
        <v>#VALUE!</v>
      </c>
      <c r="AU164" s="174" t="e">
        <f aca="false">L164*$AO164</f>
        <v>#VALUE!</v>
      </c>
      <c r="AV164" s="174"/>
      <c r="AW164" s="174"/>
      <c r="AY164" s="220"/>
      <c r="AZ164" s="220"/>
      <c r="BA164" s="223"/>
      <c r="BC164" s="220"/>
      <c r="BE164" s="206"/>
    </row>
    <row r="165" customFormat="false" ht="12.75" hidden="false" customHeight="false" outlineLevel="0" collapsed="false">
      <c r="A165" s="167" t="e">
        <f aca="false">([1]!edate,A164,1)</f>
        <v>#VALUE!</v>
      </c>
      <c r="B165" s="201" t="e">
        <f aca="false">A166-A165</f>
        <v>#VALUE!</v>
      </c>
      <c r="C165" s="202" t="e">
        <f aca="false">IF(Control!$F$18="Physical",Model!A166+24,Model!A166)</f>
        <v>#VALUE!</v>
      </c>
      <c r="E165" s="203" t="e">
        <f aca="false">IF($A165&lt;End_Date,IF(Control!$C$20="Flat",Control!$C$21,VLOOKUP(Model!$A165,Euro!$B$29:$D$182,3)),0)</f>
        <v>#VALUE!</v>
      </c>
      <c r="F165" s="203" t="e">
        <f aca="false">E165*B165</f>
        <v>#VALUE!</v>
      </c>
      <c r="H165" s="204" t="e">
        <f aca="false">IF(Control!$C$27="Mid",VLOOKUP($A165,CurveFetch!$D$8:$F$367,3),VLOOKUP($A165,Euro!$B$29:$I$182,8))</f>
        <v>#VALUE!</v>
      </c>
      <c r="I165" s="204"/>
      <c r="J165" s="204" t="e">
        <f aca="false">IF($J$4="Mid",VLOOKUP($A165,Curve_Fetch,VLOOKUP(Control!$AJ$10,Control!$AI$11:$AK$22,3)),VLOOKUP($A165,Euro!$B$29:$M$182,12))</f>
        <v>#VALUE!</v>
      </c>
      <c r="K165" s="205" t="e">
        <f aca="false">IF(Control!$F$18="Physical",IF($K$4="Mid",VLOOKUP($A165,Curve_Fetch,VLOOKUP(Control!$AJ$10,Control!$AI$11:$AL$22,4)),VLOOKUP($A165,Euro!$B$29:$Q$182,16)),0)</f>
        <v>#VALUE!</v>
      </c>
      <c r="L165" s="204" t="e">
        <f aca="false">SUM(J165:K165)</f>
        <v>#VALUE!</v>
      </c>
      <c r="M165" s="204"/>
      <c r="N165" s="206" t="e">
        <f aca="false">L165+H165</f>
        <v>#VALUE!</v>
      </c>
      <c r="O165" s="206" t="e">
        <f aca="false">N165+Control!$C$39</f>
        <v>#VALUE!</v>
      </c>
      <c r="P165" s="207" t="e">
        <f aca="false">VLOOKUP($A165,CurveFetch!$D$8:$E$367,2)</f>
        <v>#VALUE!</v>
      </c>
      <c r="Q165" s="208" t="e">
        <f aca="false">P165</f>
        <v>#VALUE!</v>
      </c>
      <c r="R165" s="209" t="e">
        <f aca="true">A165-1-TODAY()</f>
        <v>#VALUE!</v>
      </c>
      <c r="S165" s="210" t="e">
        <f aca="false">VLOOKUP($A165,Curve_Fetch,VLOOKUP(Control!$AJ$10,Control!$AI$11:$AM$22,5))</f>
        <v>#VALUE!</v>
      </c>
      <c r="T165" s="211" t="e">
        <f aca="false">EURO(N165,O165,P165,Q165,S165,R165,IF(Control!$C$38="Call",1,0),0)</f>
        <v>#NAME?</v>
      </c>
      <c r="U165" s="174" t="e">
        <f aca="false">T165*B165*E165</f>
        <v>#VALUE!</v>
      </c>
      <c r="V165" s="212"/>
      <c r="W165" s="213"/>
      <c r="X165" s="213"/>
      <c r="Y165" s="213"/>
      <c r="AA165" s="214"/>
      <c r="AB165" s="214"/>
      <c r="AC165" s="215"/>
      <c r="AD165" s="216"/>
      <c r="AE165" s="217"/>
      <c r="AF165" s="218"/>
      <c r="AG165" s="219"/>
      <c r="AH165" s="220"/>
      <c r="AI165" s="174"/>
      <c r="AJ165" s="171" t="e">
        <f aca="false">Y165-L165</f>
        <v>#VALUE!</v>
      </c>
      <c r="AL165" s="208" t="e">
        <f aca="false">VLOOKUP($C165,Curve_Fetch,2)+Cost_of_Funds</f>
        <v>#VALUE!</v>
      </c>
      <c r="AM165" s="210" t="e">
        <f aca="false">1/(1+AL165/2)^(2*(C165-Val_Date)/365.25)</f>
        <v>#VALUE!</v>
      </c>
      <c r="AO165" s="222" t="e">
        <f aca="false">$B165*$E165*$AM165</f>
        <v>#VALUE!</v>
      </c>
      <c r="AP165" s="222"/>
      <c r="AQ165" s="222" t="e">
        <f aca="false">H165*AO165</f>
        <v>#VALUE!</v>
      </c>
      <c r="AR165" s="222"/>
      <c r="AS165" s="174" t="e">
        <f aca="false">J165*$AO165</f>
        <v>#VALUE!</v>
      </c>
      <c r="AT165" s="174" t="e">
        <f aca="false">K165*$AO165</f>
        <v>#VALUE!</v>
      </c>
      <c r="AU165" s="174" t="e">
        <f aca="false">L165*$AO165</f>
        <v>#VALUE!</v>
      </c>
      <c r="AV165" s="174"/>
      <c r="AW165" s="174"/>
      <c r="AY165" s="220"/>
      <c r="AZ165" s="220"/>
      <c r="BA165" s="223"/>
      <c r="BC165" s="220"/>
      <c r="BE165" s="206"/>
    </row>
    <row r="166" customFormat="false" ht="12.75" hidden="false" customHeight="false" outlineLevel="0" collapsed="false">
      <c r="A166" s="167" t="e">
        <f aca="false">([1]!edate,A165,1)</f>
        <v>#VALUE!</v>
      </c>
      <c r="B166" s="201" t="e">
        <f aca="false">A167-A166</f>
        <v>#VALUE!</v>
      </c>
      <c r="C166" s="202" t="e">
        <f aca="false">IF(Control!$F$18="Physical",Model!A167+24,Model!A167)</f>
        <v>#VALUE!</v>
      </c>
      <c r="E166" s="203" t="e">
        <f aca="false">IF($A166&lt;End_Date,IF(Control!$C$20="Flat",Control!$C$21,VLOOKUP(Model!$A166,Euro!$B$29:$D$182,3)),0)</f>
        <v>#VALUE!</v>
      </c>
      <c r="F166" s="203" t="e">
        <f aca="false">E166*B166</f>
        <v>#VALUE!</v>
      </c>
      <c r="H166" s="204" t="e">
        <f aca="false">IF(Control!$C$27="Mid",VLOOKUP($A166,CurveFetch!$D$8:$F$367,3),VLOOKUP($A166,Euro!$B$29:$I$182,8))</f>
        <v>#VALUE!</v>
      </c>
      <c r="I166" s="204"/>
      <c r="J166" s="204" t="e">
        <f aca="false">IF($J$4="Mid",VLOOKUP($A166,Curve_Fetch,VLOOKUP(Control!$AJ$10,Control!$AI$11:$AK$22,3)),VLOOKUP($A166,Euro!$B$29:$M$182,12))</f>
        <v>#VALUE!</v>
      </c>
      <c r="K166" s="205" t="e">
        <f aca="false">IF(Control!$F$18="Physical",IF($K$4="Mid",VLOOKUP($A166,Curve_Fetch,VLOOKUP(Control!$AJ$10,Control!$AI$11:$AL$22,4)),VLOOKUP($A166,Euro!$B$29:$Q$182,16)),0)</f>
        <v>#VALUE!</v>
      </c>
      <c r="L166" s="204" t="e">
        <f aca="false">SUM(J166:K166)</f>
        <v>#VALUE!</v>
      </c>
      <c r="M166" s="204"/>
      <c r="N166" s="206" t="e">
        <f aca="false">L166+H166</f>
        <v>#VALUE!</v>
      </c>
      <c r="O166" s="206" t="e">
        <f aca="false">N166+Control!$C$39</f>
        <v>#VALUE!</v>
      </c>
      <c r="P166" s="207" t="e">
        <f aca="false">VLOOKUP($A166,CurveFetch!$D$8:$E$367,2)</f>
        <v>#VALUE!</v>
      </c>
      <c r="Q166" s="208" t="e">
        <f aca="false">P166</f>
        <v>#VALUE!</v>
      </c>
      <c r="R166" s="209" t="e">
        <f aca="true">A166-1-TODAY()</f>
        <v>#VALUE!</v>
      </c>
      <c r="S166" s="210" t="e">
        <f aca="false">VLOOKUP($A166,Curve_Fetch,VLOOKUP(Control!$AJ$10,Control!$AI$11:$AM$22,5))</f>
        <v>#VALUE!</v>
      </c>
      <c r="T166" s="211" t="e">
        <f aca="false">EURO(N166,O166,P166,Q166,S166,R166,IF(Control!$C$38="Call",1,0),0)</f>
        <v>#NAME?</v>
      </c>
      <c r="U166" s="174" t="e">
        <f aca="false">T166*B166*E166</f>
        <v>#VALUE!</v>
      </c>
      <c r="V166" s="212"/>
      <c r="W166" s="213"/>
      <c r="X166" s="213"/>
      <c r="Y166" s="213"/>
      <c r="AA166" s="214"/>
      <c r="AB166" s="214"/>
      <c r="AC166" s="215"/>
      <c r="AD166" s="216"/>
      <c r="AE166" s="217"/>
      <c r="AF166" s="218"/>
      <c r="AG166" s="219"/>
      <c r="AH166" s="220"/>
      <c r="AI166" s="174"/>
      <c r="AJ166" s="171" t="e">
        <f aca="false">Y166-L166</f>
        <v>#VALUE!</v>
      </c>
      <c r="AL166" s="208" t="e">
        <f aca="false">VLOOKUP($C166,Curve_Fetch,2)+Cost_of_Funds</f>
        <v>#VALUE!</v>
      </c>
      <c r="AM166" s="210" t="e">
        <f aca="false">1/(1+AL166/2)^(2*(C166-Val_Date)/365.25)</f>
        <v>#VALUE!</v>
      </c>
      <c r="AO166" s="222" t="e">
        <f aca="false">$B166*$E166*$AM166</f>
        <v>#VALUE!</v>
      </c>
      <c r="AP166" s="222"/>
      <c r="AQ166" s="222" t="e">
        <f aca="false">H166*AO166</f>
        <v>#VALUE!</v>
      </c>
      <c r="AR166" s="222"/>
      <c r="AS166" s="174" t="e">
        <f aca="false">J166*$AO166</f>
        <v>#VALUE!</v>
      </c>
      <c r="AT166" s="174" t="e">
        <f aca="false">K166*$AO166</f>
        <v>#VALUE!</v>
      </c>
      <c r="AU166" s="174" t="e">
        <f aca="false">L166*$AO166</f>
        <v>#VALUE!</v>
      </c>
      <c r="AV166" s="174"/>
      <c r="AW166" s="174"/>
      <c r="AY166" s="220"/>
      <c r="AZ166" s="220"/>
      <c r="BA166" s="223"/>
      <c r="BC166" s="220"/>
      <c r="BE166" s="206"/>
    </row>
    <row r="167" customFormat="false" ht="12.75" hidden="false" customHeight="false" outlineLevel="0" collapsed="false">
      <c r="A167" s="167" t="e">
        <f aca="false">([1]!edate,A166,1)</f>
        <v>#VALUE!</v>
      </c>
      <c r="B167" s="201" t="e">
        <f aca="false">A168-A167</f>
        <v>#VALUE!</v>
      </c>
      <c r="C167" s="202" t="e">
        <f aca="false">IF(Control!$F$18="Physical",Model!A168+24,Model!A168)</f>
        <v>#VALUE!</v>
      </c>
      <c r="E167" s="203" t="e">
        <f aca="false">IF($A167&lt;End_Date,IF(Control!$C$20="Flat",Control!$C$21,VLOOKUP(Model!$A167,Euro!$B$29:$D$182,3)),0)</f>
        <v>#VALUE!</v>
      </c>
      <c r="F167" s="203" t="e">
        <f aca="false">E167*B167</f>
        <v>#VALUE!</v>
      </c>
      <c r="H167" s="204" t="e">
        <f aca="false">IF(Control!$C$27="Mid",VLOOKUP($A167,CurveFetch!$D$8:$F$367,3),VLOOKUP($A167,Euro!$B$29:$I$182,8))</f>
        <v>#VALUE!</v>
      </c>
      <c r="I167" s="204"/>
      <c r="J167" s="204" t="e">
        <f aca="false">IF($J$4="Mid",VLOOKUP($A167,Curve_Fetch,VLOOKUP(Control!$AJ$10,Control!$AI$11:$AK$22,3)),VLOOKUP($A167,Euro!$B$29:$M$182,12))</f>
        <v>#VALUE!</v>
      </c>
      <c r="K167" s="205" t="e">
        <f aca="false">IF(Control!$F$18="Physical",IF($K$4="Mid",VLOOKUP($A167,Curve_Fetch,VLOOKUP(Control!$AJ$10,Control!$AI$11:$AL$22,4)),VLOOKUP($A167,Euro!$B$29:$Q$182,16)),0)</f>
        <v>#VALUE!</v>
      </c>
      <c r="L167" s="204" t="e">
        <f aca="false">SUM(J167:K167)</f>
        <v>#VALUE!</v>
      </c>
      <c r="M167" s="204"/>
      <c r="N167" s="206" t="e">
        <f aca="false">L167+H167</f>
        <v>#VALUE!</v>
      </c>
      <c r="O167" s="206" t="e">
        <f aca="false">N167+Control!$C$39</f>
        <v>#VALUE!</v>
      </c>
      <c r="P167" s="207" t="e">
        <f aca="false">VLOOKUP($A167,CurveFetch!$D$8:$E$367,2)</f>
        <v>#VALUE!</v>
      </c>
      <c r="Q167" s="208" t="e">
        <f aca="false">P167</f>
        <v>#VALUE!</v>
      </c>
      <c r="R167" s="209" t="e">
        <f aca="true">A167-1-TODAY()</f>
        <v>#VALUE!</v>
      </c>
      <c r="S167" s="210" t="e">
        <f aca="false">VLOOKUP($A167,Curve_Fetch,VLOOKUP(Control!$AJ$10,Control!$AI$11:$AM$22,5))</f>
        <v>#VALUE!</v>
      </c>
      <c r="T167" s="211" t="e">
        <f aca="false">EURO(N167,O167,P167,Q167,S167,R167,IF(Control!$C$38="Call",1,0),0)</f>
        <v>#NAME?</v>
      </c>
      <c r="U167" s="174" t="e">
        <f aca="false">T167*B167*E167</f>
        <v>#VALUE!</v>
      </c>
      <c r="V167" s="212"/>
      <c r="W167" s="213"/>
      <c r="X167" s="213"/>
      <c r="Y167" s="213"/>
      <c r="AA167" s="214"/>
      <c r="AB167" s="214"/>
      <c r="AC167" s="215"/>
      <c r="AD167" s="216"/>
      <c r="AE167" s="217"/>
      <c r="AF167" s="218"/>
      <c r="AG167" s="219"/>
      <c r="AH167" s="220"/>
      <c r="AI167" s="174"/>
      <c r="AJ167" s="171" t="e">
        <f aca="false">Y167-L167</f>
        <v>#VALUE!</v>
      </c>
      <c r="AL167" s="208" t="e">
        <f aca="false">VLOOKUP($C167,Curve_Fetch,2)+Cost_of_Funds</f>
        <v>#VALUE!</v>
      </c>
      <c r="AM167" s="210" t="e">
        <f aca="false">1/(1+AL167/2)^(2*(C167-Val_Date)/365.25)</f>
        <v>#VALUE!</v>
      </c>
      <c r="AO167" s="222" t="e">
        <f aca="false">$B167*$E167*$AM167</f>
        <v>#VALUE!</v>
      </c>
      <c r="AP167" s="222"/>
      <c r="AQ167" s="222" t="e">
        <f aca="false">H167*AO167</f>
        <v>#VALUE!</v>
      </c>
      <c r="AR167" s="222"/>
      <c r="AS167" s="174" t="e">
        <f aca="false">J167*$AO167</f>
        <v>#VALUE!</v>
      </c>
      <c r="AT167" s="174" t="e">
        <f aca="false">K167*$AO167</f>
        <v>#VALUE!</v>
      </c>
      <c r="AU167" s="174" t="e">
        <f aca="false">L167*$AO167</f>
        <v>#VALUE!</v>
      </c>
      <c r="AV167" s="174"/>
      <c r="AW167" s="174"/>
      <c r="AY167" s="220"/>
      <c r="AZ167" s="220"/>
      <c r="BA167" s="223"/>
      <c r="BC167" s="220"/>
      <c r="BE167" s="206"/>
    </row>
    <row r="168" customFormat="false" ht="12.75" hidden="false" customHeight="false" outlineLevel="0" collapsed="false">
      <c r="A168" s="167" t="e">
        <f aca="false">([1]!edate,A167,1)</f>
        <v>#VALUE!</v>
      </c>
      <c r="B168" s="201" t="e">
        <f aca="false">A169-A168</f>
        <v>#VALUE!</v>
      </c>
      <c r="C168" s="202" t="e">
        <f aca="false">IF(Control!$F$18="Physical",Model!A169+24,Model!A169)</f>
        <v>#VALUE!</v>
      </c>
      <c r="E168" s="203" t="e">
        <f aca="false">IF($A168&lt;End_Date,IF(Control!$C$20="Flat",Control!$C$21,VLOOKUP(Model!$A168,Euro!$B$29:$D$182,3)),0)</f>
        <v>#VALUE!</v>
      </c>
      <c r="F168" s="203" t="e">
        <f aca="false">E168*B168</f>
        <v>#VALUE!</v>
      </c>
      <c r="H168" s="204" t="e">
        <f aca="false">IF(Control!$C$27="Mid",VLOOKUP($A168,CurveFetch!$D$8:$F$367,3),VLOOKUP($A168,Euro!$B$29:$I$182,8))</f>
        <v>#VALUE!</v>
      </c>
      <c r="I168" s="204"/>
      <c r="J168" s="204" t="e">
        <f aca="false">IF($J$4="Mid",VLOOKUP($A168,Curve_Fetch,VLOOKUP(Control!$AJ$10,Control!$AI$11:$AK$22,3)),VLOOKUP($A168,Euro!$B$29:$M$182,12))</f>
        <v>#VALUE!</v>
      </c>
      <c r="K168" s="205" t="e">
        <f aca="false">IF(Control!$F$18="Physical",IF($K$4="Mid",VLOOKUP($A168,Curve_Fetch,VLOOKUP(Control!$AJ$10,Control!$AI$11:$AL$22,4)),VLOOKUP($A168,Euro!$B$29:$Q$182,16)),0)</f>
        <v>#VALUE!</v>
      </c>
      <c r="L168" s="204" t="e">
        <f aca="false">SUM(J168:K168)</f>
        <v>#VALUE!</v>
      </c>
      <c r="M168" s="204"/>
      <c r="N168" s="206" t="e">
        <f aca="false">L168+H168</f>
        <v>#VALUE!</v>
      </c>
      <c r="O168" s="206" t="e">
        <f aca="false">N168+Control!$C$39</f>
        <v>#VALUE!</v>
      </c>
      <c r="P168" s="207" t="e">
        <f aca="false">VLOOKUP($A168,CurveFetch!$D$8:$E$367,2)</f>
        <v>#VALUE!</v>
      </c>
      <c r="Q168" s="208" t="e">
        <f aca="false">P168</f>
        <v>#VALUE!</v>
      </c>
      <c r="R168" s="209" t="e">
        <f aca="true">A168-1-TODAY()</f>
        <v>#VALUE!</v>
      </c>
      <c r="S168" s="210" t="e">
        <f aca="false">VLOOKUP($A168,Curve_Fetch,VLOOKUP(Control!$AJ$10,Control!$AI$11:$AM$22,5))</f>
        <v>#VALUE!</v>
      </c>
      <c r="T168" s="211" t="e">
        <f aca="false">EURO(N168,O168,P168,Q168,S168,R168,IF(Control!$C$38="Call",1,0),0)</f>
        <v>#NAME?</v>
      </c>
      <c r="U168" s="174" t="e">
        <f aca="false">T168*B168*E168</f>
        <v>#VALUE!</v>
      </c>
      <c r="V168" s="212"/>
      <c r="W168" s="213"/>
      <c r="X168" s="213"/>
      <c r="Y168" s="213"/>
      <c r="AA168" s="214"/>
      <c r="AB168" s="214"/>
      <c r="AC168" s="215"/>
      <c r="AD168" s="216"/>
      <c r="AE168" s="217"/>
      <c r="AF168" s="218"/>
      <c r="AG168" s="219"/>
      <c r="AH168" s="220"/>
      <c r="AI168" s="174"/>
      <c r="AJ168" s="171" t="e">
        <f aca="false">Y168-L168</f>
        <v>#VALUE!</v>
      </c>
      <c r="AL168" s="208" t="e">
        <f aca="false">VLOOKUP($C168,Curve_Fetch,2)+Cost_of_Funds</f>
        <v>#VALUE!</v>
      </c>
      <c r="AM168" s="210" t="e">
        <f aca="false">1/(1+AL168/2)^(2*(C168-Val_Date)/365.25)</f>
        <v>#VALUE!</v>
      </c>
      <c r="AO168" s="222" t="e">
        <f aca="false">$B168*$E168*$AM168</f>
        <v>#VALUE!</v>
      </c>
      <c r="AP168" s="222"/>
      <c r="AQ168" s="222" t="e">
        <f aca="false">H168*AO168</f>
        <v>#VALUE!</v>
      </c>
      <c r="AR168" s="222"/>
      <c r="AS168" s="174" t="e">
        <f aca="false">J168*$AO168</f>
        <v>#VALUE!</v>
      </c>
      <c r="AT168" s="174" t="e">
        <f aca="false">K168*$AO168</f>
        <v>#VALUE!</v>
      </c>
      <c r="AU168" s="174" t="e">
        <f aca="false">L168*$AO168</f>
        <v>#VALUE!</v>
      </c>
      <c r="AV168" s="174"/>
      <c r="AW168" s="174"/>
      <c r="AY168" s="220"/>
      <c r="AZ168" s="220"/>
      <c r="BA168" s="223"/>
      <c r="BC168" s="220"/>
      <c r="BE168" s="206"/>
    </row>
    <row r="169" customFormat="false" ht="12.75" hidden="false" customHeight="false" outlineLevel="0" collapsed="false">
      <c r="A169" s="167" t="e">
        <f aca="false">([1]!edate,A168,1)</f>
        <v>#VALUE!</v>
      </c>
      <c r="B169" s="201" t="e">
        <f aca="false">A170-A169</f>
        <v>#VALUE!</v>
      </c>
      <c r="C169" s="202" t="e">
        <f aca="false">IF(Control!$F$18="Physical",Model!A170+24,Model!A170)</f>
        <v>#VALUE!</v>
      </c>
      <c r="E169" s="203" t="e">
        <f aca="false">IF($A169&lt;End_Date,IF(Control!$C$20="Flat",Control!$C$21,VLOOKUP(Model!$A169,Euro!$B$29:$D$182,3)),0)</f>
        <v>#VALUE!</v>
      </c>
      <c r="F169" s="203" t="e">
        <f aca="false">E169*B169</f>
        <v>#VALUE!</v>
      </c>
      <c r="H169" s="204" t="e">
        <f aca="false">IF(Control!$C$27="Mid",VLOOKUP($A169,CurveFetch!$D$8:$F$367,3),VLOOKUP($A169,Euro!$B$29:$I$182,8))</f>
        <v>#VALUE!</v>
      </c>
      <c r="I169" s="204"/>
      <c r="J169" s="204" t="e">
        <f aca="false">IF($J$4="Mid",VLOOKUP($A169,Curve_Fetch,VLOOKUP(Control!$AJ$10,Control!$AI$11:$AK$22,3)),VLOOKUP($A169,Euro!$B$29:$M$182,12))</f>
        <v>#VALUE!</v>
      </c>
      <c r="K169" s="205" t="e">
        <f aca="false">IF(Control!$F$18="Physical",IF($K$4="Mid",VLOOKUP($A169,Curve_Fetch,VLOOKUP(Control!$AJ$10,Control!$AI$11:$AL$22,4)),VLOOKUP($A169,Euro!$B$29:$Q$182,16)),0)</f>
        <v>#VALUE!</v>
      </c>
      <c r="L169" s="204" t="e">
        <f aca="false">SUM(J169:K169)</f>
        <v>#VALUE!</v>
      </c>
      <c r="M169" s="204"/>
      <c r="N169" s="206" t="e">
        <f aca="false">L169+H169</f>
        <v>#VALUE!</v>
      </c>
      <c r="O169" s="206" t="e">
        <f aca="false">N169+Control!$C$39</f>
        <v>#VALUE!</v>
      </c>
      <c r="P169" s="207" t="e">
        <f aca="false">VLOOKUP($A169,CurveFetch!$D$8:$E$367,2)</f>
        <v>#VALUE!</v>
      </c>
      <c r="Q169" s="208" t="e">
        <f aca="false">P169</f>
        <v>#VALUE!</v>
      </c>
      <c r="R169" s="209" t="e">
        <f aca="true">A169-1-TODAY()</f>
        <v>#VALUE!</v>
      </c>
      <c r="S169" s="210" t="e">
        <f aca="false">VLOOKUP($A169,Curve_Fetch,VLOOKUP(Control!$AJ$10,Control!$AI$11:$AM$22,5))</f>
        <v>#VALUE!</v>
      </c>
      <c r="T169" s="211" t="e">
        <f aca="false">EURO(N169,O169,P169,Q169,S169,R169,IF(Control!$C$38="Call",1,0),0)</f>
        <v>#NAME?</v>
      </c>
      <c r="U169" s="174" t="e">
        <f aca="false">T169*B169*E169</f>
        <v>#VALUE!</v>
      </c>
      <c r="V169" s="212"/>
      <c r="W169" s="213"/>
      <c r="X169" s="213"/>
      <c r="Y169" s="213"/>
      <c r="AA169" s="214"/>
      <c r="AB169" s="214"/>
      <c r="AC169" s="215"/>
      <c r="AD169" s="216"/>
      <c r="AE169" s="217"/>
      <c r="AF169" s="218"/>
      <c r="AG169" s="219"/>
      <c r="AH169" s="220"/>
      <c r="AI169" s="174"/>
      <c r="AJ169" s="171" t="e">
        <f aca="false">Y169-L169</f>
        <v>#VALUE!</v>
      </c>
      <c r="AL169" s="208" t="e">
        <f aca="false">VLOOKUP($C169,Curve_Fetch,2)+Cost_of_Funds</f>
        <v>#VALUE!</v>
      </c>
      <c r="AM169" s="210" t="e">
        <f aca="false">1/(1+AL169/2)^(2*(C169-Val_Date)/365.25)</f>
        <v>#VALUE!</v>
      </c>
      <c r="AO169" s="222" t="e">
        <f aca="false">$B169*$E169*$AM169</f>
        <v>#VALUE!</v>
      </c>
      <c r="AP169" s="222"/>
      <c r="AQ169" s="222" t="e">
        <f aca="false">H169*AO169</f>
        <v>#VALUE!</v>
      </c>
      <c r="AR169" s="222"/>
      <c r="AS169" s="174" t="e">
        <f aca="false">J169*$AO169</f>
        <v>#VALUE!</v>
      </c>
      <c r="AT169" s="174" t="e">
        <f aca="false">K169*$AO169</f>
        <v>#VALUE!</v>
      </c>
      <c r="AU169" s="174" t="e">
        <f aca="false">L169*$AO169</f>
        <v>#VALUE!</v>
      </c>
      <c r="AV169" s="174"/>
      <c r="AW169" s="174"/>
      <c r="AY169" s="220"/>
      <c r="AZ169" s="220"/>
      <c r="BA169" s="223"/>
      <c r="BC169" s="220"/>
      <c r="BE169" s="206"/>
    </row>
    <row r="170" customFormat="false" ht="12.75" hidden="false" customHeight="false" outlineLevel="0" collapsed="false">
      <c r="A170" s="167" t="e">
        <f aca="false">([1]!edate,A169,1)</f>
        <v>#VALUE!</v>
      </c>
      <c r="B170" s="201" t="e">
        <f aca="false">A171-A170</f>
        <v>#VALUE!</v>
      </c>
      <c r="C170" s="202" t="e">
        <f aca="false">IF(Control!$F$18="Physical",Model!A171+24,Model!A171)</f>
        <v>#VALUE!</v>
      </c>
      <c r="E170" s="203" t="e">
        <f aca="false">IF($A170&lt;End_Date,IF(Control!$C$20="Flat",Control!$C$21,VLOOKUP(Model!$A170,Euro!$B$29:$D$182,3)),0)</f>
        <v>#VALUE!</v>
      </c>
      <c r="F170" s="203" t="e">
        <f aca="false">E170*B170</f>
        <v>#VALUE!</v>
      </c>
      <c r="H170" s="204" t="e">
        <f aca="false">IF(Control!$C$27="Mid",VLOOKUP($A170,CurveFetch!$D$8:$F$367,3),VLOOKUP($A170,Euro!$B$29:$I$182,8))</f>
        <v>#VALUE!</v>
      </c>
      <c r="I170" s="204"/>
      <c r="J170" s="204" t="e">
        <f aca="false">IF($J$4="Mid",VLOOKUP($A170,Curve_Fetch,VLOOKUP(Control!$AJ$10,Control!$AI$11:$AK$22,3)),VLOOKUP($A170,Euro!$B$29:$M$182,12))</f>
        <v>#VALUE!</v>
      </c>
      <c r="K170" s="205" t="e">
        <f aca="false">IF(Control!$F$18="Physical",IF($K$4="Mid",VLOOKUP($A170,Curve_Fetch,VLOOKUP(Control!$AJ$10,Control!$AI$11:$AL$22,4)),VLOOKUP($A170,Euro!$B$29:$Q$182,16)),0)</f>
        <v>#VALUE!</v>
      </c>
      <c r="L170" s="204" t="e">
        <f aca="false">SUM(J170:K170)</f>
        <v>#VALUE!</v>
      </c>
      <c r="M170" s="204"/>
      <c r="N170" s="206" t="e">
        <f aca="false">L170+H170</f>
        <v>#VALUE!</v>
      </c>
      <c r="O170" s="206" t="e">
        <f aca="false">N170+Control!$C$39</f>
        <v>#VALUE!</v>
      </c>
      <c r="P170" s="207" t="e">
        <f aca="false">VLOOKUP($A170,CurveFetch!$D$8:$E$367,2)</f>
        <v>#VALUE!</v>
      </c>
      <c r="Q170" s="208" t="e">
        <f aca="false">P170</f>
        <v>#VALUE!</v>
      </c>
      <c r="R170" s="209" t="e">
        <f aca="true">A170-1-TODAY()</f>
        <v>#VALUE!</v>
      </c>
      <c r="S170" s="210" t="e">
        <f aca="false">VLOOKUP($A170,Curve_Fetch,VLOOKUP(Control!$AJ$10,Control!$AI$11:$AM$22,5))</f>
        <v>#VALUE!</v>
      </c>
      <c r="T170" s="211" t="e">
        <f aca="false">EURO(N170,O170,P170,Q170,S170,R170,IF(Control!$C$38="Call",1,0),0)</f>
        <v>#NAME?</v>
      </c>
      <c r="U170" s="174" t="e">
        <f aca="false">T170*B170*E170</f>
        <v>#VALUE!</v>
      </c>
      <c r="V170" s="212"/>
      <c r="W170" s="213"/>
      <c r="X170" s="213"/>
      <c r="Y170" s="213"/>
      <c r="AA170" s="214"/>
      <c r="AB170" s="214"/>
      <c r="AC170" s="215"/>
      <c r="AD170" s="216"/>
      <c r="AE170" s="217"/>
      <c r="AF170" s="218"/>
      <c r="AG170" s="219"/>
      <c r="AH170" s="220"/>
      <c r="AI170" s="174"/>
      <c r="AJ170" s="171" t="e">
        <f aca="false">Y170-L170</f>
        <v>#VALUE!</v>
      </c>
      <c r="AL170" s="208" t="e">
        <f aca="false">VLOOKUP($C170,Curve_Fetch,2)+Cost_of_Funds</f>
        <v>#VALUE!</v>
      </c>
      <c r="AM170" s="210" t="e">
        <f aca="false">1/(1+AL170/2)^(2*(C170-Val_Date)/365.25)</f>
        <v>#VALUE!</v>
      </c>
      <c r="AO170" s="222" t="e">
        <f aca="false">$B170*$E170*$AM170</f>
        <v>#VALUE!</v>
      </c>
      <c r="AP170" s="222"/>
      <c r="AQ170" s="222" t="e">
        <f aca="false">H170*AO170</f>
        <v>#VALUE!</v>
      </c>
      <c r="AR170" s="222"/>
      <c r="AS170" s="174" t="e">
        <f aca="false">J170*$AO170</f>
        <v>#VALUE!</v>
      </c>
      <c r="AT170" s="174" t="e">
        <f aca="false">K170*$AO170</f>
        <v>#VALUE!</v>
      </c>
      <c r="AU170" s="174" t="e">
        <f aca="false">L170*$AO170</f>
        <v>#VALUE!</v>
      </c>
      <c r="AV170" s="174"/>
      <c r="AW170" s="174"/>
      <c r="AY170" s="220"/>
      <c r="AZ170" s="220"/>
      <c r="BA170" s="223"/>
      <c r="BC170" s="220"/>
      <c r="BE170" s="206"/>
    </row>
    <row r="171" customFormat="false" ht="12.75" hidden="false" customHeight="false" outlineLevel="0" collapsed="false">
      <c r="A171" s="167" t="e">
        <f aca="false">([1]!edate,A170,1)</f>
        <v>#VALUE!</v>
      </c>
      <c r="B171" s="201" t="e">
        <f aca="false">A172-A171</f>
        <v>#VALUE!</v>
      </c>
      <c r="C171" s="202" t="e">
        <f aca="false">IF(Control!$F$18="Physical",Model!A172+24,Model!A172)</f>
        <v>#VALUE!</v>
      </c>
      <c r="E171" s="203" t="e">
        <f aca="false">IF($A171&lt;End_Date,IF(Control!$C$20="Flat",Control!$C$21,VLOOKUP(Model!$A171,Euro!$B$29:$D$182,3)),0)</f>
        <v>#VALUE!</v>
      </c>
      <c r="F171" s="203" t="e">
        <f aca="false">E171*B171</f>
        <v>#VALUE!</v>
      </c>
      <c r="H171" s="204" t="e">
        <f aca="false">IF(Control!$C$27="Mid",VLOOKUP($A171,CurveFetch!$D$8:$F$367,3),VLOOKUP($A171,Euro!$B$29:$I$182,8))</f>
        <v>#VALUE!</v>
      </c>
      <c r="I171" s="204"/>
      <c r="J171" s="204" t="e">
        <f aca="false">IF($J$4="Mid",VLOOKUP($A171,Curve_Fetch,VLOOKUP(Control!$AJ$10,Control!$AI$11:$AK$22,3)),VLOOKUP($A171,Euro!$B$29:$M$182,12))</f>
        <v>#VALUE!</v>
      </c>
      <c r="K171" s="205" t="e">
        <f aca="false">IF(Control!$F$18="Physical",IF($K$4="Mid",VLOOKUP($A171,Curve_Fetch,VLOOKUP(Control!$AJ$10,Control!$AI$11:$AL$22,4)),VLOOKUP($A171,Euro!$B$29:$Q$182,16)),0)</f>
        <v>#VALUE!</v>
      </c>
      <c r="L171" s="204" t="e">
        <f aca="false">SUM(J171:K171)</f>
        <v>#VALUE!</v>
      </c>
      <c r="M171" s="204"/>
      <c r="N171" s="206" t="e">
        <f aca="false">L171+H171</f>
        <v>#VALUE!</v>
      </c>
      <c r="O171" s="206" t="e">
        <f aca="false">N171+Control!$C$39</f>
        <v>#VALUE!</v>
      </c>
      <c r="P171" s="207" t="e">
        <f aca="false">VLOOKUP($A171,CurveFetch!$D$8:$E$367,2)</f>
        <v>#VALUE!</v>
      </c>
      <c r="Q171" s="208" t="e">
        <f aca="false">P171</f>
        <v>#VALUE!</v>
      </c>
      <c r="R171" s="209" t="e">
        <f aca="true">A171-1-TODAY()</f>
        <v>#VALUE!</v>
      </c>
      <c r="S171" s="210" t="e">
        <f aca="false">VLOOKUP($A171,Curve_Fetch,VLOOKUP(Control!$AJ$10,Control!$AI$11:$AM$22,5))</f>
        <v>#VALUE!</v>
      </c>
      <c r="T171" s="211" t="e">
        <f aca="false">EURO(N171,O171,P171,Q171,S171,R171,IF(Control!$C$38="Call",1,0),0)</f>
        <v>#NAME?</v>
      </c>
      <c r="U171" s="174" t="e">
        <f aca="false">T171*B171*E171</f>
        <v>#VALUE!</v>
      </c>
      <c r="V171" s="212"/>
      <c r="W171" s="213"/>
      <c r="X171" s="213"/>
      <c r="Y171" s="213"/>
      <c r="AA171" s="214"/>
      <c r="AB171" s="214"/>
      <c r="AC171" s="215"/>
      <c r="AD171" s="216"/>
      <c r="AE171" s="217"/>
      <c r="AF171" s="218"/>
      <c r="AG171" s="219"/>
      <c r="AH171" s="220"/>
      <c r="AI171" s="174"/>
      <c r="AJ171" s="171" t="e">
        <f aca="false">Y171-L171</f>
        <v>#VALUE!</v>
      </c>
      <c r="AL171" s="208" t="e">
        <f aca="false">VLOOKUP($C171,Curve_Fetch,2)+Cost_of_Funds</f>
        <v>#VALUE!</v>
      </c>
      <c r="AM171" s="210" t="e">
        <f aca="false">1/(1+AL171/2)^(2*(C171-Val_Date)/365.25)</f>
        <v>#VALUE!</v>
      </c>
      <c r="AO171" s="222" t="e">
        <f aca="false">$B171*$E171*$AM171</f>
        <v>#VALUE!</v>
      </c>
      <c r="AP171" s="222"/>
      <c r="AQ171" s="222" t="e">
        <f aca="false">H171*AO171</f>
        <v>#VALUE!</v>
      </c>
      <c r="AR171" s="222"/>
      <c r="AS171" s="174" t="e">
        <f aca="false">J171*$AO171</f>
        <v>#VALUE!</v>
      </c>
      <c r="AT171" s="174" t="e">
        <f aca="false">K171*$AO171</f>
        <v>#VALUE!</v>
      </c>
      <c r="AU171" s="174" t="e">
        <f aca="false">L171*$AO171</f>
        <v>#VALUE!</v>
      </c>
      <c r="AV171" s="174"/>
      <c r="AW171" s="174"/>
      <c r="AY171" s="220"/>
      <c r="AZ171" s="220"/>
      <c r="BA171" s="223"/>
      <c r="BC171" s="220"/>
      <c r="BE171" s="206"/>
    </row>
    <row r="172" customFormat="false" ht="12.75" hidden="false" customHeight="false" outlineLevel="0" collapsed="false">
      <c r="A172" s="167" t="e">
        <f aca="false">([1]!edate,A171,1)</f>
        <v>#VALUE!</v>
      </c>
      <c r="B172" s="201" t="e">
        <f aca="false">A173-A172</f>
        <v>#VALUE!</v>
      </c>
      <c r="C172" s="202" t="e">
        <f aca="false">IF(Control!$F$18="Physical",Model!A173+24,Model!A173)</f>
        <v>#VALUE!</v>
      </c>
      <c r="E172" s="203" t="e">
        <f aca="false">IF($A172&lt;End_Date,IF(Control!$C$20="Flat",Control!$C$21,VLOOKUP(Model!$A172,Euro!$B$29:$D$182,3)),0)</f>
        <v>#VALUE!</v>
      </c>
      <c r="F172" s="203" t="e">
        <f aca="false">E172*B172</f>
        <v>#VALUE!</v>
      </c>
      <c r="H172" s="204" t="e">
        <f aca="false">IF(Control!$C$27="Mid",VLOOKUP($A172,CurveFetch!$D$8:$F$367,3),VLOOKUP($A172,Euro!$B$29:$I$182,8))</f>
        <v>#VALUE!</v>
      </c>
      <c r="I172" s="204"/>
      <c r="J172" s="204" t="e">
        <f aca="false">IF($J$4="Mid",VLOOKUP($A172,Curve_Fetch,VLOOKUP(Control!$AJ$10,Control!$AI$11:$AK$22,3)),VLOOKUP($A172,Euro!$B$29:$M$182,12))</f>
        <v>#VALUE!</v>
      </c>
      <c r="K172" s="205" t="e">
        <f aca="false">IF(Control!$F$18="Physical",IF($K$4="Mid",VLOOKUP($A172,Curve_Fetch,VLOOKUP(Control!$AJ$10,Control!$AI$11:$AL$22,4)),VLOOKUP($A172,Euro!$B$29:$Q$182,16)),0)</f>
        <v>#VALUE!</v>
      </c>
      <c r="L172" s="204" t="e">
        <f aca="false">SUM(J172:K172)</f>
        <v>#VALUE!</v>
      </c>
      <c r="M172" s="204"/>
      <c r="N172" s="206" t="e">
        <f aca="false">L172+H172</f>
        <v>#VALUE!</v>
      </c>
      <c r="O172" s="206" t="e">
        <f aca="false">N172+Control!$C$39</f>
        <v>#VALUE!</v>
      </c>
      <c r="P172" s="207" t="e">
        <f aca="false">VLOOKUP($A172,CurveFetch!$D$8:$E$367,2)</f>
        <v>#VALUE!</v>
      </c>
      <c r="Q172" s="208" t="e">
        <f aca="false">P172</f>
        <v>#VALUE!</v>
      </c>
      <c r="R172" s="209" t="e">
        <f aca="true">A172-1-TODAY()</f>
        <v>#VALUE!</v>
      </c>
      <c r="S172" s="210" t="e">
        <f aca="false">VLOOKUP($A172,Curve_Fetch,VLOOKUP(Control!$AJ$10,Control!$AI$11:$AM$22,5))</f>
        <v>#VALUE!</v>
      </c>
      <c r="T172" s="211" t="e">
        <f aca="false">EURO(N172,O172,P172,Q172,S172,R172,IF(Control!$C$38="Call",1,0),0)</f>
        <v>#NAME?</v>
      </c>
      <c r="U172" s="174" t="e">
        <f aca="false">T172*B172*E172</f>
        <v>#VALUE!</v>
      </c>
      <c r="V172" s="212"/>
      <c r="W172" s="213"/>
      <c r="X172" s="213"/>
      <c r="Y172" s="213"/>
      <c r="AA172" s="214"/>
      <c r="AB172" s="214"/>
      <c r="AC172" s="215"/>
      <c r="AD172" s="216"/>
      <c r="AE172" s="217"/>
      <c r="AF172" s="218"/>
      <c r="AG172" s="219"/>
      <c r="AH172" s="220"/>
      <c r="AI172" s="174"/>
      <c r="AJ172" s="171" t="e">
        <f aca="false">Y172-L172</f>
        <v>#VALUE!</v>
      </c>
      <c r="AL172" s="208" t="e">
        <f aca="false">VLOOKUP($C172,Curve_Fetch,2)+Cost_of_Funds</f>
        <v>#VALUE!</v>
      </c>
      <c r="AM172" s="210" t="e">
        <f aca="false">1/(1+AL172/2)^(2*(C172-Val_Date)/365.25)</f>
        <v>#VALUE!</v>
      </c>
      <c r="AO172" s="222" t="e">
        <f aca="false">$B172*$E172*$AM172</f>
        <v>#VALUE!</v>
      </c>
      <c r="AP172" s="222"/>
      <c r="AQ172" s="222" t="e">
        <f aca="false">H172*AO172</f>
        <v>#VALUE!</v>
      </c>
      <c r="AR172" s="222"/>
      <c r="AS172" s="174" t="e">
        <f aca="false">J172*$AO172</f>
        <v>#VALUE!</v>
      </c>
      <c r="AT172" s="174" t="e">
        <f aca="false">K172*$AO172</f>
        <v>#VALUE!</v>
      </c>
      <c r="AU172" s="174" t="e">
        <f aca="false">L172*$AO172</f>
        <v>#VALUE!</v>
      </c>
      <c r="AV172" s="174"/>
      <c r="AW172" s="174"/>
      <c r="AY172" s="220"/>
      <c r="AZ172" s="220"/>
      <c r="BA172" s="223"/>
      <c r="BC172" s="220"/>
      <c r="BE172" s="206"/>
    </row>
    <row r="173" customFormat="false" ht="12.75" hidden="false" customHeight="false" outlineLevel="0" collapsed="false">
      <c r="A173" s="167" t="e">
        <f aca="false">([1]!edate,A172,1)</f>
        <v>#VALUE!</v>
      </c>
      <c r="B173" s="201" t="e">
        <f aca="false">A174-A173</f>
        <v>#VALUE!</v>
      </c>
      <c r="C173" s="202" t="e">
        <f aca="false">IF(Control!$F$18="Physical",Model!A174+24,Model!A174)</f>
        <v>#VALUE!</v>
      </c>
      <c r="E173" s="203" t="e">
        <f aca="false">IF($A173&lt;End_Date,IF(Control!$C$20="Flat",Control!$C$21,VLOOKUP(Model!$A173,Euro!$B$29:$D$182,3)),0)</f>
        <v>#VALUE!</v>
      </c>
      <c r="F173" s="203" t="e">
        <f aca="false">E173*B173</f>
        <v>#VALUE!</v>
      </c>
      <c r="H173" s="204" t="e">
        <f aca="false">IF(Control!$C$27="Mid",VLOOKUP($A173,CurveFetch!$D$8:$F$367,3),VLOOKUP($A173,Euro!$B$29:$I$182,8))</f>
        <v>#VALUE!</v>
      </c>
      <c r="I173" s="204"/>
      <c r="J173" s="204" t="e">
        <f aca="false">IF($J$4="Mid",VLOOKUP($A173,Curve_Fetch,VLOOKUP(Control!$AJ$10,Control!$AI$11:$AK$22,3)),VLOOKUP($A173,Euro!$B$29:$M$182,12))</f>
        <v>#VALUE!</v>
      </c>
      <c r="K173" s="205" t="e">
        <f aca="false">IF(Control!$F$18="Physical",IF($K$4="Mid",VLOOKUP($A173,Curve_Fetch,VLOOKUP(Control!$AJ$10,Control!$AI$11:$AL$22,4)),VLOOKUP($A173,Euro!$B$29:$Q$182,16)),0)</f>
        <v>#VALUE!</v>
      </c>
      <c r="L173" s="204" t="e">
        <f aca="false">SUM(J173:K173)</f>
        <v>#VALUE!</v>
      </c>
      <c r="M173" s="204"/>
      <c r="N173" s="206" t="e">
        <f aca="false">L173+H173</f>
        <v>#VALUE!</v>
      </c>
      <c r="O173" s="206" t="e">
        <f aca="false">N173+Control!$C$39</f>
        <v>#VALUE!</v>
      </c>
      <c r="P173" s="207" t="e">
        <f aca="false">VLOOKUP($A173,CurveFetch!$D$8:$E$367,2)</f>
        <v>#VALUE!</v>
      </c>
      <c r="Q173" s="208" t="e">
        <f aca="false">P173</f>
        <v>#VALUE!</v>
      </c>
      <c r="R173" s="209" t="e">
        <f aca="true">A173-1-TODAY()</f>
        <v>#VALUE!</v>
      </c>
      <c r="S173" s="210" t="e">
        <f aca="false">VLOOKUP($A173,Curve_Fetch,VLOOKUP(Control!$AJ$10,Control!$AI$11:$AM$22,5))</f>
        <v>#VALUE!</v>
      </c>
      <c r="T173" s="211" t="e">
        <f aca="false">EURO(N173,O173,P173,Q173,S173,R173,IF(Control!$C$38="Call",1,0),0)</f>
        <v>#NAME?</v>
      </c>
      <c r="U173" s="174" t="e">
        <f aca="false">T173*B173*E173</f>
        <v>#VALUE!</v>
      </c>
      <c r="V173" s="212"/>
      <c r="W173" s="213"/>
      <c r="X173" s="213"/>
      <c r="Y173" s="213"/>
      <c r="AA173" s="214"/>
      <c r="AB173" s="214"/>
      <c r="AC173" s="215"/>
      <c r="AD173" s="216"/>
      <c r="AE173" s="217"/>
      <c r="AF173" s="218"/>
      <c r="AG173" s="219"/>
      <c r="AH173" s="220"/>
      <c r="AI173" s="174"/>
      <c r="AJ173" s="171" t="e">
        <f aca="false">Y173-L173</f>
        <v>#VALUE!</v>
      </c>
      <c r="AL173" s="208" t="e">
        <f aca="false">VLOOKUP($C173,Curve_Fetch,2)+Cost_of_Funds</f>
        <v>#VALUE!</v>
      </c>
      <c r="AM173" s="210" t="e">
        <f aca="false">1/(1+AL173/2)^(2*(C173-Val_Date)/365.25)</f>
        <v>#VALUE!</v>
      </c>
      <c r="AO173" s="222" t="e">
        <f aca="false">$B173*$E173*$AM173</f>
        <v>#VALUE!</v>
      </c>
      <c r="AP173" s="222"/>
      <c r="AQ173" s="222" t="e">
        <f aca="false">H173*AO173</f>
        <v>#VALUE!</v>
      </c>
      <c r="AR173" s="222"/>
      <c r="AS173" s="174" t="e">
        <f aca="false">J173*$AO173</f>
        <v>#VALUE!</v>
      </c>
      <c r="AT173" s="174" t="e">
        <f aca="false">K173*$AO173</f>
        <v>#VALUE!</v>
      </c>
      <c r="AU173" s="174" t="e">
        <f aca="false">L173*$AO173</f>
        <v>#VALUE!</v>
      </c>
      <c r="AV173" s="174"/>
      <c r="AW173" s="174"/>
      <c r="AY173" s="220"/>
      <c r="AZ173" s="220"/>
      <c r="BA173" s="223"/>
      <c r="BC173" s="220"/>
      <c r="BE173" s="206"/>
    </row>
    <row r="174" customFormat="false" ht="12.75" hidden="false" customHeight="false" outlineLevel="0" collapsed="false">
      <c r="A174" s="167" t="e">
        <f aca="false">([1]!edate,A173,1)</f>
        <v>#VALUE!</v>
      </c>
      <c r="B174" s="201" t="e">
        <f aca="false">A175-A174</f>
        <v>#VALUE!</v>
      </c>
      <c r="C174" s="202" t="e">
        <f aca="false">IF(Control!$F$18="Physical",Model!A175+24,Model!A175)</f>
        <v>#VALUE!</v>
      </c>
      <c r="E174" s="203" t="e">
        <f aca="false">IF($A174&lt;End_Date,IF(Control!$C$20="Flat",Control!$C$21,VLOOKUP(Model!$A174,Euro!$B$29:$D$182,3)),0)</f>
        <v>#VALUE!</v>
      </c>
      <c r="F174" s="203" t="e">
        <f aca="false">E174*B174</f>
        <v>#VALUE!</v>
      </c>
      <c r="H174" s="204" t="e">
        <f aca="false">IF(Control!$C$27="Mid",VLOOKUP($A174,CurveFetch!$D$8:$F$367,3),VLOOKUP($A174,Euro!$B$29:$I$182,8))</f>
        <v>#VALUE!</v>
      </c>
      <c r="I174" s="204"/>
      <c r="J174" s="204" t="e">
        <f aca="false">IF($J$4="Mid",VLOOKUP($A174,Curve_Fetch,VLOOKUP(Control!$AJ$10,Control!$AI$11:$AK$22,3)),VLOOKUP($A174,Euro!$B$29:$M$182,12))</f>
        <v>#VALUE!</v>
      </c>
      <c r="K174" s="205" t="e">
        <f aca="false">IF(Control!$F$18="Physical",IF($K$4="Mid",VLOOKUP($A174,Curve_Fetch,VLOOKUP(Control!$AJ$10,Control!$AI$11:$AL$22,4)),VLOOKUP($A174,Euro!$B$29:$Q$182,16)),0)</f>
        <v>#VALUE!</v>
      </c>
      <c r="L174" s="204" t="e">
        <f aca="false">SUM(J174:K174)</f>
        <v>#VALUE!</v>
      </c>
      <c r="M174" s="204"/>
      <c r="N174" s="206" t="e">
        <f aca="false">L174+H174</f>
        <v>#VALUE!</v>
      </c>
      <c r="O174" s="206" t="e">
        <f aca="false">N174+Control!$C$39</f>
        <v>#VALUE!</v>
      </c>
      <c r="P174" s="207" t="e">
        <f aca="false">VLOOKUP($A174,CurveFetch!$D$8:$E$367,2)</f>
        <v>#VALUE!</v>
      </c>
      <c r="Q174" s="208" t="e">
        <f aca="false">P174</f>
        <v>#VALUE!</v>
      </c>
      <c r="R174" s="209" t="e">
        <f aca="true">A174-1-TODAY()</f>
        <v>#VALUE!</v>
      </c>
      <c r="S174" s="210" t="e">
        <f aca="false">VLOOKUP($A174,Curve_Fetch,VLOOKUP(Control!$AJ$10,Control!$AI$11:$AM$22,5))</f>
        <v>#VALUE!</v>
      </c>
      <c r="T174" s="211" t="e">
        <f aca="false">EURO(N174,O174,P174,Q174,S174,R174,IF(Control!$C$38="Call",1,0),0)</f>
        <v>#NAME?</v>
      </c>
      <c r="U174" s="174" t="e">
        <f aca="false">T174*B174*E174</f>
        <v>#VALUE!</v>
      </c>
      <c r="V174" s="212"/>
      <c r="W174" s="213"/>
      <c r="X174" s="213"/>
      <c r="Y174" s="213"/>
      <c r="AA174" s="214"/>
      <c r="AB174" s="214"/>
      <c r="AC174" s="215"/>
      <c r="AD174" s="216"/>
      <c r="AE174" s="217"/>
      <c r="AF174" s="218"/>
      <c r="AG174" s="219"/>
      <c r="AH174" s="220"/>
      <c r="AI174" s="174"/>
      <c r="AJ174" s="171" t="e">
        <f aca="false">Y174-L174</f>
        <v>#VALUE!</v>
      </c>
      <c r="AL174" s="208" t="e">
        <f aca="false">VLOOKUP($C174,Curve_Fetch,2)+Cost_of_Funds</f>
        <v>#VALUE!</v>
      </c>
      <c r="AM174" s="210" t="e">
        <f aca="false">1/(1+AL174/2)^(2*(C174-Val_Date)/365.25)</f>
        <v>#VALUE!</v>
      </c>
      <c r="AO174" s="222" t="e">
        <f aca="false">$B174*$E174*$AM174</f>
        <v>#VALUE!</v>
      </c>
      <c r="AP174" s="222"/>
      <c r="AQ174" s="222" t="e">
        <f aca="false">H174*AO174</f>
        <v>#VALUE!</v>
      </c>
      <c r="AR174" s="222"/>
      <c r="AS174" s="174" t="e">
        <f aca="false">J174*$AO174</f>
        <v>#VALUE!</v>
      </c>
      <c r="AT174" s="174" t="e">
        <f aca="false">K174*$AO174</f>
        <v>#VALUE!</v>
      </c>
      <c r="AU174" s="174" t="e">
        <f aca="false">L174*$AO174</f>
        <v>#VALUE!</v>
      </c>
      <c r="AV174" s="174"/>
      <c r="AW174" s="174"/>
      <c r="AY174" s="220"/>
      <c r="AZ174" s="220"/>
      <c r="BA174" s="223"/>
      <c r="BC174" s="220"/>
      <c r="BE174" s="206"/>
    </row>
    <row r="175" customFormat="false" ht="12.75" hidden="false" customHeight="false" outlineLevel="0" collapsed="false">
      <c r="A175" s="167" t="e">
        <f aca="false">([1]!edate,A174,1)</f>
        <v>#VALUE!</v>
      </c>
      <c r="B175" s="201" t="e">
        <f aca="false">A176-A175</f>
        <v>#VALUE!</v>
      </c>
      <c r="C175" s="202" t="e">
        <f aca="false">IF(Control!$F$18="Physical",Model!A176+24,Model!A176)</f>
        <v>#VALUE!</v>
      </c>
      <c r="E175" s="203" t="e">
        <f aca="false">IF($A175&lt;End_Date,IF(Control!$C$20="Flat",Control!$C$21,VLOOKUP(Model!$A175,Euro!$B$29:$D$182,3)),0)</f>
        <v>#VALUE!</v>
      </c>
      <c r="F175" s="203" t="e">
        <f aca="false">E175*B175</f>
        <v>#VALUE!</v>
      </c>
      <c r="H175" s="204" t="e">
        <f aca="false">IF(Control!$C$27="Mid",VLOOKUP($A175,CurveFetch!$D$8:$F$367,3),VLOOKUP($A175,Euro!$B$29:$I$182,8))</f>
        <v>#VALUE!</v>
      </c>
      <c r="I175" s="204"/>
      <c r="J175" s="204" t="e">
        <f aca="false">IF($J$4="Mid",VLOOKUP($A175,Curve_Fetch,VLOOKUP(Control!$AJ$10,Control!$AI$11:$AK$22,3)),VLOOKUP($A175,Euro!$B$29:$M$182,12))</f>
        <v>#VALUE!</v>
      </c>
      <c r="K175" s="205" t="e">
        <f aca="false">IF(Control!$F$18="Physical",IF($K$4="Mid",VLOOKUP($A175,Curve_Fetch,VLOOKUP(Control!$AJ$10,Control!$AI$11:$AL$22,4)),VLOOKUP($A175,Euro!$B$29:$Q$182,16)),0)</f>
        <v>#VALUE!</v>
      </c>
      <c r="L175" s="204" t="e">
        <f aca="false">SUM(J175:K175)</f>
        <v>#VALUE!</v>
      </c>
      <c r="M175" s="204"/>
      <c r="N175" s="206" t="e">
        <f aca="false">L175+H175</f>
        <v>#VALUE!</v>
      </c>
      <c r="O175" s="206" t="e">
        <f aca="false">N175+Control!$C$39</f>
        <v>#VALUE!</v>
      </c>
      <c r="P175" s="207" t="e">
        <f aca="false">VLOOKUP($A175,CurveFetch!$D$8:$E$367,2)</f>
        <v>#VALUE!</v>
      </c>
      <c r="Q175" s="208" t="e">
        <f aca="false">P175</f>
        <v>#VALUE!</v>
      </c>
      <c r="R175" s="209" t="e">
        <f aca="true">A175-1-TODAY()</f>
        <v>#VALUE!</v>
      </c>
      <c r="S175" s="210" t="e">
        <f aca="false">VLOOKUP($A175,Curve_Fetch,VLOOKUP(Control!$AJ$10,Control!$AI$11:$AM$22,5))</f>
        <v>#VALUE!</v>
      </c>
      <c r="T175" s="211" t="e">
        <f aca="false">EURO(N175,O175,P175,Q175,S175,R175,IF(Control!$C$38="Call",1,0),0)</f>
        <v>#NAME?</v>
      </c>
      <c r="U175" s="174" t="e">
        <f aca="false">T175*B175*E175</f>
        <v>#VALUE!</v>
      </c>
      <c r="V175" s="212"/>
      <c r="W175" s="213"/>
      <c r="X175" s="213"/>
      <c r="Y175" s="213"/>
      <c r="AA175" s="214"/>
      <c r="AB175" s="214"/>
      <c r="AC175" s="215"/>
      <c r="AD175" s="216"/>
      <c r="AE175" s="217"/>
      <c r="AF175" s="218"/>
      <c r="AG175" s="219"/>
      <c r="AH175" s="220"/>
      <c r="AI175" s="174"/>
      <c r="AJ175" s="171" t="e">
        <f aca="false">Y175-L175</f>
        <v>#VALUE!</v>
      </c>
      <c r="AL175" s="208" t="e">
        <f aca="false">VLOOKUP($C175,Curve_Fetch,2)+Cost_of_Funds</f>
        <v>#VALUE!</v>
      </c>
      <c r="AM175" s="210" t="e">
        <f aca="false">1/(1+AL175/2)^(2*(C175-Val_Date)/365.25)</f>
        <v>#VALUE!</v>
      </c>
      <c r="AO175" s="222" t="e">
        <f aca="false">$B175*$E175*$AM175</f>
        <v>#VALUE!</v>
      </c>
      <c r="AP175" s="222"/>
      <c r="AQ175" s="222" t="e">
        <f aca="false">H175*AO175</f>
        <v>#VALUE!</v>
      </c>
      <c r="AR175" s="222"/>
      <c r="AS175" s="174" t="e">
        <f aca="false">J175*$AO175</f>
        <v>#VALUE!</v>
      </c>
      <c r="AT175" s="174" t="e">
        <f aca="false">K175*$AO175</f>
        <v>#VALUE!</v>
      </c>
      <c r="AU175" s="174" t="e">
        <f aca="false">L175*$AO175</f>
        <v>#VALUE!</v>
      </c>
      <c r="AV175" s="174"/>
      <c r="AW175" s="174"/>
      <c r="AY175" s="220"/>
      <c r="AZ175" s="220"/>
      <c r="BA175" s="223"/>
      <c r="BC175" s="220"/>
      <c r="BE175" s="206"/>
    </row>
    <row r="176" customFormat="false" ht="12.75" hidden="false" customHeight="false" outlineLevel="0" collapsed="false">
      <c r="A176" s="167" t="e">
        <f aca="false">([1]!edate,A175,1)</f>
        <v>#VALUE!</v>
      </c>
      <c r="B176" s="201" t="e">
        <f aca="false">A177-A176</f>
        <v>#VALUE!</v>
      </c>
      <c r="C176" s="202" t="e">
        <f aca="false">IF(Control!$F$18="Physical",Model!A177+24,Model!A177)</f>
        <v>#VALUE!</v>
      </c>
      <c r="E176" s="203" t="e">
        <f aca="false">IF($A176&lt;End_Date,IF(Control!$C$20="Flat",Control!$C$21,VLOOKUP(Model!$A176,Euro!$B$29:$D$182,3)),0)</f>
        <v>#VALUE!</v>
      </c>
      <c r="F176" s="203" t="e">
        <f aca="false">E176*B176</f>
        <v>#VALUE!</v>
      </c>
      <c r="H176" s="204" t="e">
        <f aca="false">IF(Control!$C$27="Mid",VLOOKUP($A176,CurveFetch!$D$8:$F$367,3),VLOOKUP($A176,Euro!$B$29:$I$182,8))</f>
        <v>#VALUE!</v>
      </c>
      <c r="I176" s="204"/>
      <c r="J176" s="204" t="e">
        <f aca="false">IF($J$4="Mid",VLOOKUP($A176,Curve_Fetch,VLOOKUP(Control!$AJ$10,Control!$AI$11:$AK$22,3)),VLOOKUP($A176,Euro!$B$29:$M$182,12))</f>
        <v>#VALUE!</v>
      </c>
      <c r="K176" s="205" t="e">
        <f aca="false">IF(Control!$F$18="Physical",IF($K$4="Mid",VLOOKUP($A176,Curve_Fetch,VLOOKUP(Control!$AJ$10,Control!$AI$11:$AL$22,4)),VLOOKUP($A176,Euro!$B$29:$Q$182,16)),0)</f>
        <v>#VALUE!</v>
      </c>
      <c r="L176" s="204" t="e">
        <f aca="false">SUM(J176:K176)</f>
        <v>#VALUE!</v>
      </c>
      <c r="M176" s="204"/>
      <c r="N176" s="206" t="e">
        <f aca="false">L176+H176</f>
        <v>#VALUE!</v>
      </c>
      <c r="O176" s="206" t="e">
        <f aca="false">N176+Control!$C$39</f>
        <v>#VALUE!</v>
      </c>
      <c r="P176" s="207" t="e">
        <f aca="false">VLOOKUP($A176,CurveFetch!$D$8:$E$367,2)</f>
        <v>#VALUE!</v>
      </c>
      <c r="Q176" s="208" t="e">
        <f aca="false">P176</f>
        <v>#VALUE!</v>
      </c>
      <c r="R176" s="209" t="e">
        <f aca="true">A176-1-TODAY()</f>
        <v>#VALUE!</v>
      </c>
      <c r="S176" s="210" t="e">
        <f aca="false">VLOOKUP($A176,Curve_Fetch,VLOOKUP(Control!$AJ$10,Control!$AI$11:$AM$22,5))</f>
        <v>#VALUE!</v>
      </c>
      <c r="T176" s="211" t="e">
        <f aca="false">EURO(N176,O176,P176,Q176,S176,R176,IF(Control!$C$38="Call",1,0),0)</f>
        <v>#NAME?</v>
      </c>
      <c r="U176" s="174" t="e">
        <f aca="false">T176*B176*E176</f>
        <v>#VALUE!</v>
      </c>
      <c r="V176" s="212"/>
      <c r="W176" s="213"/>
      <c r="X176" s="213"/>
      <c r="Y176" s="213"/>
      <c r="AA176" s="214"/>
      <c r="AB176" s="214"/>
      <c r="AC176" s="215"/>
      <c r="AD176" s="216"/>
      <c r="AE176" s="217"/>
      <c r="AF176" s="218"/>
      <c r="AG176" s="219"/>
      <c r="AH176" s="220"/>
      <c r="AI176" s="174"/>
      <c r="AJ176" s="171" t="e">
        <f aca="false">Y176-L176</f>
        <v>#VALUE!</v>
      </c>
      <c r="AL176" s="208" t="e">
        <f aca="false">VLOOKUP($C176,Curve_Fetch,2)+Cost_of_Funds</f>
        <v>#VALUE!</v>
      </c>
      <c r="AM176" s="210" t="e">
        <f aca="false">1/(1+AL176/2)^(2*(C176-Val_Date)/365.25)</f>
        <v>#VALUE!</v>
      </c>
      <c r="AO176" s="222" t="e">
        <f aca="false">$B176*$E176*$AM176</f>
        <v>#VALUE!</v>
      </c>
      <c r="AP176" s="222"/>
      <c r="AQ176" s="222" t="e">
        <f aca="false">H176*AO176</f>
        <v>#VALUE!</v>
      </c>
      <c r="AR176" s="222"/>
      <c r="AS176" s="174" t="e">
        <f aca="false">J176*$AO176</f>
        <v>#VALUE!</v>
      </c>
      <c r="AT176" s="174" t="e">
        <f aca="false">K176*$AO176</f>
        <v>#VALUE!</v>
      </c>
      <c r="AU176" s="174" t="e">
        <f aca="false">L176*$AO176</f>
        <v>#VALUE!</v>
      </c>
      <c r="AV176" s="174"/>
      <c r="AW176" s="174"/>
      <c r="AY176" s="220"/>
      <c r="AZ176" s="220"/>
      <c r="BA176" s="223"/>
      <c r="BC176" s="220"/>
      <c r="BE176" s="206"/>
    </row>
    <row r="177" customFormat="false" ht="12.75" hidden="false" customHeight="false" outlineLevel="0" collapsed="false">
      <c r="A177" s="167" t="e">
        <f aca="false">([1]!edate,A176,1)</f>
        <v>#VALUE!</v>
      </c>
      <c r="B177" s="201" t="e">
        <f aca="false">A178-A177</f>
        <v>#VALUE!</v>
      </c>
      <c r="C177" s="202" t="e">
        <f aca="false">IF(Control!$F$18="Physical",Model!A178+24,Model!A178)</f>
        <v>#VALUE!</v>
      </c>
      <c r="E177" s="203" t="e">
        <f aca="false">IF($A177&lt;End_Date,IF(Control!$C$20="Flat",Control!$C$21,VLOOKUP(Model!$A177,Euro!$B$29:$D$182,3)),0)</f>
        <v>#VALUE!</v>
      </c>
      <c r="F177" s="203" t="e">
        <f aca="false">E177*B177</f>
        <v>#VALUE!</v>
      </c>
      <c r="H177" s="204" t="e">
        <f aca="false">IF(Control!$C$27="Mid",VLOOKUP($A177,CurveFetch!$D$8:$F$367,3),VLOOKUP($A177,Euro!$B$29:$I$182,8))</f>
        <v>#VALUE!</v>
      </c>
      <c r="I177" s="204"/>
      <c r="J177" s="204" t="e">
        <f aca="false">IF($J$4="Mid",VLOOKUP($A177,Curve_Fetch,VLOOKUP(Control!$AJ$10,Control!$AI$11:$AK$22,3)),VLOOKUP($A177,Euro!$B$29:$M$182,12))</f>
        <v>#VALUE!</v>
      </c>
      <c r="K177" s="205" t="e">
        <f aca="false">IF(Control!$F$18="Physical",IF($K$4="Mid",VLOOKUP($A177,Curve_Fetch,VLOOKUP(Control!$AJ$10,Control!$AI$11:$AL$22,4)),VLOOKUP($A177,Euro!$B$29:$Q$182,16)),0)</f>
        <v>#VALUE!</v>
      </c>
      <c r="L177" s="204" t="e">
        <f aca="false">SUM(J177:K177)</f>
        <v>#VALUE!</v>
      </c>
      <c r="M177" s="204"/>
      <c r="N177" s="206" t="e">
        <f aca="false">L177+H177</f>
        <v>#VALUE!</v>
      </c>
      <c r="O177" s="206" t="e">
        <f aca="false">N177+Control!$C$39</f>
        <v>#VALUE!</v>
      </c>
      <c r="P177" s="207" t="e">
        <f aca="false">VLOOKUP($A177,CurveFetch!$D$8:$E$367,2)</f>
        <v>#VALUE!</v>
      </c>
      <c r="Q177" s="208" t="e">
        <f aca="false">P177</f>
        <v>#VALUE!</v>
      </c>
      <c r="R177" s="209" t="e">
        <f aca="true">A177-1-TODAY()</f>
        <v>#VALUE!</v>
      </c>
      <c r="S177" s="210" t="e">
        <f aca="false">VLOOKUP($A177,Curve_Fetch,VLOOKUP(Control!$AJ$10,Control!$AI$11:$AM$22,5))</f>
        <v>#VALUE!</v>
      </c>
      <c r="T177" s="211" t="e">
        <f aca="false">EURO(N177,O177,P177,Q177,S177,R177,IF(Control!$C$38="Call",1,0),0)</f>
        <v>#NAME?</v>
      </c>
      <c r="U177" s="174" t="e">
        <f aca="false">T177*B177*E177</f>
        <v>#VALUE!</v>
      </c>
      <c r="V177" s="212"/>
      <c r="W177" s="213"/>
      <c r="X177" s="213"/>
      <c r="Y177" s="213"/>
      <c r="AA177" s="214"/>
      <c r="AB177" s="214"/>
      <c r="AC177" s="215"/>
      <c r="AD177" s="216"/>
      <c r="AE177" s="217"/>
      <c r="AF177" s="218"/>
      <c r="AG177" s="219"/>
      <c r="AH177" s="220"/>
      <c r="AI177" s="174"/>
      <c r="AJ177" s="171" t="e">
        <f aca="false">Y177-L177</f>
        <v>#VALUE!</v>
      </c>
      <c r="AL177" s="208" t="e">
        <f aca="false">VLOOKUP($C177,Curve_Fetch,2)+Cost_of_Funds</f>
        <v>#VALUE!</v>
      </c>
      <c r="AM177" s="210" t="e">
        <f aca="false">1/(1+AL177/2)^(2*(C177-Val_Date)/365.25)</f>
        <v>#VALUE!</v>
      </c>
      <c r="AO177" s="222" t="e">
        <f aca="false">$B177*$E177*$AM177</f>
        <v>#VALUE!</v>
      </c>
      <c r="AP177" s="222"/>
      <c r="AQ177" s="222" t="e">
        <f aca="false">H177*AO177</f>
        <v>#VALUE!</v>
      </c>
      <c r="AR177" s="222"/>
      <c r="AS177" s="174" t="e">
        <f aca="false">J177*$AO177</f>
        <v>#VALUE!</v>
      </c>
      <c r="AT177" s="174" t="e">
        <f aca="false">K177*$AO177</f>
        <v>#VALUE!</v>
      </c>
      <c r="AU177" s="174" t="e">
        <f aca="false">L177*$AO177</f>
        <v>#VALUE!</v>
      </c>
      <c r="AV177" s="174"/>
      <c r="AW177" s="174"/>
      <c r="AY177" s="220"/>
      <c r="AZ177" s="220"/>
      <c r="BA177" s="223"/>
      <c r="BC177" s="220"/>
      <c r="BE177" s="206"/>
    </row>
    <row r="178" customFormat="false" ht="12.75" hidden="false" customHeight="false" outlineLevel="0" collapsed="false">
      <c r="A178" s="167" t="e">
        <f aca="false">([1]!edate,A177,1)</f>
        <v>#VALUE!</v>
      </c>
      <c r="B178" s="201" t="e">
        <f aca="false">A179-A178</f>
        <v>#VALUE!</v>
      </c>
      <c r="C178" s="202" t="e">
        <f aca="false">IF(Control!$F$18="Physical",Model!A179+24,Model!A179)</f>
        <v>#VALUE!</v>
      </c>
      <c r="E178" s="203" t="e">
        <f aca="false">IF($A178&lt;End_Date,IF(Control!$C$20="Flat",Control!$C$21,VLOOKUP(Model!$A178,Euro!$B$29:$D$182,3)),0)</f>
        <v>#VALUE!</v>
      </c>
      <c r="F178" s="203" t="e">
        <f aca="false">E178*B178</f>
        <v>#VALUE!</v>
      </c>
      <c r="H178" s="204" t="e">
        <f aca="false">IF(Control!$C$27="Mid",VLOOKUP($A178,CurveFetch!$D$8:$F$367,3),VLOOKUP($A178,Euro!$B$29:$I$182,8))</f>
        <v>#VALUE!</v>
      </c>
      <c r="I178" s="204"/>
      <c r="J178" s="204" t="e">
        <f aca="false">IF($J$4="Mid",VLOOKUP($A178,Curve_Fetch,VLOOKUP(Control!$AJ$10,Control!$AI$11:$AK$22,3)),VLOOKUP($A178,Euro!$B$29:$M$182,12))</f>
        <v>#VALUE!</v>
      </c>
      <c r="K178" s="205" t="e">
        <f aca="false">IF(Control!$F$18="Physical",IF($K$4="Mid",VLOOKUP($A178,Curve_Fetch,VLOOKUP(Control!$AJ$10,Control!$AI$11:$AL$22,4)),VLOOKUP($A178,Euro!$B$29:$Q$182,16)),0)</f>
        <v>#VALUE!</v>
      </c>
      <c r="L178" s="204" t="e">
        <f aca="false">SUM(J178:K178)</f>
        <v>#VALUE!</v>
      </c>
      <c r="M178" s="204"/>
      <c r="N178" s="206" t="e">
        <f aca="false">L178+H178</f>
        <v>#VALUE!</v>
      </c>
      <c r="O178" s="206" t="e">
        <f aca="false">N178+Control!$C$39</f>
        <v>#VALUE!</v>
      </c>
      <c r="P178" s="207" t="e">
        <f aca="false">VLOOKUP($A178,CurveFetch!$D$8:$E$367,2)</f>
        <v>#VALUE!</v>
      </c>
      <c r="Q178" s="208" t="e">
        <f aca="false">P178</f>
        <v>#VALUE!</v>
      </c>
      <c r="R178" s="209" t="e">
        <f aca="true">A178-1-TODAY()</f>
        <v>#VALUE!</v>
      </c>
      <c r="S178" s="210" t="e">
        <f aca="false">VLOOKUP($A178,Curve_Fetch,VLOOKUP(Control!$AJ$10,Control!$AI$11:$AM$22,5))</f>
        <v>#VALUE!</v>
      </c>
      <c r="T178" s="211" t="e">
        <f aca="false">EURO(N178,O178,P178,Q178,S178,R178,IF(Control!$C$38="Call",1,0),0)</f>
        <v>#NAME?</v>
      </c>
      <c r="U178" s="174" t="e">
        <f aca="false">T178*B178*E178</f>
        <v>#VALUE!</v>
      </c>
      <c r="V178" s="212"/>
      <c r="W178" s="213"/>
      <c r="X178" s="213"/>
      <c r="Y178" s="213"/>
      <c r="AA178" s="214"/>
      <c r="AB178" s="214"/>
      <c r="AC178" s="215"/>
      <c r="AD178" s="216"/>
      <c r="AE178" s="217"/>
      <c r="AF178" s="218"/>
      <c r="AG178" s="219"/>
      <c r="AH178" s="220"/>
      <c r="AI178" s="174"/>
      <c r="AJ178" s="171" t="e">
        <f aca="false">Y178-L178</f>
        <v>#VALUE!</v>
      </c>
      <c r="AL178" s="208" t="e">
        <f aca="false">VLOOKUP($C178,Curve_Fetch,2)+Cost_of_Funds</f>
        <v>#VALUE!</v>
      </c>
      <c r="AM178" s="210" t="e">
        <f aca="false">1/(1+AL178/2)^(2*(C178-Val_Date)/365.25)</f>
        <v>#VALUE!</v>
      </c>
      <c r="AO178" s="222" t="e">
        <f aca="false">$B178*$E178*$AM178</f>
        <v>#VALUE!</v>
      </c>
      <c r="AP178" s="222"/>
      <c r="AQ178" s="222" t="e">
        <f aca="false">H178*AO178</f>
        <v>#VALUE!</v>
      </c>
      <c r="AR178" s="222"/>
      <c r="AS178" s="174" t="e">
        <f aca="false">J178*$AO178</f>
        <v>#VALUE!</v>
      </c>
      <c r="AT178" s="174" t="e">
        <f aca="false">K178*$AO178</f>
        <v>#VALUE!</v>
      </c>
      <c r="AU178" s="174" t="e">
        <f aca="false">L178*$AO178</f>
        <v>#VALUE!</v>
      </c>
      <c r="AV178" s="174"/>
      <c r="AW178" s="174"/>
      <c r="AY178" s="220"/>
      <c r="AZ178" s="220"/>
      <c r="BA178" s="223"/>
      <c r="BC178" s="220"/>
      <c r="BE178" s="206"/>
    </row>
    <row r="179" customFormat="false" ht="12.75" hidden="false" customHeight="false" outlineLevel="0" collapsed="false">
      <c r="A179" s="167" t="e">
        <f aca="false">([1]!edate,A178,1)</f>
        <v>#VALUE!</v>
      </c>
      <c r="B179" s="201" t="e">
        <f aca="false">A180-A179</f>
        <v>#VALUE!</v>
      </c>
      <c r="C179" s="202" t="e">
        <f aca="false">IF(Control!$F$18="Physical",Model!A180+24,Model!A180)</f>
        <v>#VALUE!</v>
      </c>
      <c r="E179" s="203" t="e">
        <f aca="false">IF($A179&lt;End_Date,IF(Control!$C$20="Flat",Control!$C$21,VLOOKUP(Model!$A179,Euro!$B$29:$D$182,3)),0)</f>
        <v>#VALUE!</v>
      </c>
      <c r="F179" s="203" t="e">
        <f aca="false">E179*B179</f>
        <v>#VALUE!</v>
      </c>
      <c r="H179" s="204" t="e">
        <f aca="false">IF(Control!$C$27="Mid",VLOOKUP($A179,CurveFetch!$D$8:$F$367,3),VLOOKUP($A179,Euro!$B$29:$I$182,8))</f>
        <v>#VALUE!</v>
      </c>
      <c r="I179" s="204"/>
      <c r="J179" s="204" t="e">
        <f aca="false">IF($J$4="Mid",VLOOKUP($A179,Curve_Fetch,VLOOKUP(Control!$AJ$10,Control!$AI$11:$AK$22,3)),VLOOKUP($A179,Euro!$B$29:$M$182,12))</f>
        <v>#VALUE!</v>
      </c>
      <c r="K179" s="205" t="e">
        <f aca="false">IF(Control!$F$18="Physical",IF($K$4="Mid",VLOOKUP($A179,Curve_Fetch,VLOOKUP(Control!$AJ$10,Control!$AI$11:$AL$22,4)),VLOOKUP($A179,Euro!$B$29:$Q$182,16)),0)</f>
        <v>#VALUE!</v>
      </c>
      <c r="L179" s="204" t="e">
        <f aca="false">SUM(J179:K179)</f>
        <v>#VALUE!</v>
      </c>
      <c r="M179" s="204"/>
      <c r="N179" s="206" t="e">
        <f aca="false">L179+H179</f>
        <v>#VALUE!</v>
      </c>
      <c r="O179" s="206" t="e">
        <f aca="false">N179+Control!$C$39</f>
        <v>#VALUE!</v>
      </c>
      <c r="P179" s="207" t="e">
        <f aca="false">VLOOKUP($A179,CurveFetch!$D$8:$E$367,2)</f>
        <v>#VALUE!</v>
      </c>
      <c r="Q179" s="208" t="e">
        <f aca="false">P179</f>
        <v>#VALUE!</v>
      </c>
      <c r="R179" s="209" t="e">
        <f aca="true">A179-1-TODAY()</f>
        <v>#VALUE!</v>
      </c>
      <c r="S179" s="210" t="e">
        <f aca="false">VLOOKUP($A179,Curve_Fetch,VLOOKUP(Control!$AJ$10,Control!$AI$11:$AM$22,5))</f>
        <v>#VALUE!</v>
      </c>
      <c r="T179" s="211" t="e">
        <f aca="false">EURO(N179,O179,P179,Q179,S179,R179,IF(Control!$C$38="Call",1,0),0)</f>
        <v>#NAME?</v>
      </c>
      <c r="U179" s="174" t="e">
        <f aca="false">T179*B179*E179</f>
        <v>#VALUE!</v>
      </c>
      <c r="V179" s="212"/>
      <c r="W179" s="213"/>
      <c r="X179" s="213"/>
      <c r="Y179" s="213"/>
      <c r="AA179" s="214"/>
      <c r="AB179" s="214"/>
      <c r="AC179" s="215"/>
      <c r="AD179" s="216"/>
      <c r="AE179" s="217"/>
      <c r="AF179" s="218"/>
      <c r="AG179" s="219"/>
      <c r="AH179" s="220"/>
      <c r="AI179" s="174"/>
      <c r="AJ179" s="171" t="e">
        <f aca="false">Y179-L179</f>
        <v>#VALUE!</v>
      </c>
      <c r="AL179" s="208" t="e">
        <f aca="false">VLOOKUP($C179,Curve_Fetch,2)+Cost_of_Funds</f>
        <v>#VALUE!</v>
      </c>
      <c r="AM179" s="210" t="e">
        <f aca="false">1/(1+AL179/2)^(2*(C179-Val_Date)/365.25)</f>
        <v>#VALUE!</v>
      </c>
      <c r="AO179" s="222" t="e">
        <f aca="false">$B179*$E179*$AM179</f>
        <v>#VALUE!</v>
      </c>
      <c r="AP179" s="222"/>
      <c r="AQ179" s="222" t="e">
        <f aca="false">H179*AO179</f>
        <v>#VALUE!</v>
      </c>
      <c r="AR179" s="222"/>
      <c r="AS179" s="174" t="e">
        <f aca="false">J179*$AO179</f>
        <v>#VALUE!</v>
      </c>
      <c r="AT179" s="174" t="e">
        <f aca="false">K179*$AO179</f>
        <v>#VALUE!</v>
      </c>
      <c r="AU179" s="174" t="e">
        <f aca="false">L179*$AO179</f>
        <v>#VALUE!</v>
      </c>
      <c r="AV179" s="174"/>
      <c r="AW179" s="174"/>
      <c r="AY179" s="220"/>
      <c r="AZ179" s="220"/>
      <c r="BA179" s="223"/>
      <c r="BC179" s="220"/>
      <c r="BE179" s="206"/>
    </row>
    <row r="180" customFormat="false" ht="12.75" hidden="false" customHeight="false" outlineLevel="0" collapsed="false">
      <c r="A180" s="167" t="e">
        <f aca="false">([1]!edate,A179,1)</f>
        <v>#VALUE!</v>
      </c>
      <c r="B180" s="201" t="e">
        <f aca="false">A181-A180</f>
        <v>#VALUE!</v>
      </c>
      <c r="C180" s="202" t="e">
        <f aca="false">IF(Control!$F$18="Physical",Model!A181+24,Model!A181)</f>
        <v>#VALUE!</v>
      </c>
      <c r="E180" s="203" t="e">
        <f aca="false">IF($A180&lt;End_Date,IF(Control!$C$20="Flat",Control!$C$21,VLOOKUP(Model!$A180,Euro!$B$29:$D$182,3)),0)</f>
        <v>#VALUE!</v>
      </c>
      <c r="F180" s="203" t="e">
        <f aca="false">E180*B180</f>
        <v>#VALUE!</v>
      </c>
      <c r="H180" s="204" t="e">
        <f aca="false">IF(Control!$C$27="Mid",VLOOKUP($A180,CurveFetch!$D$8:$F$367,3),VLOOKUP($A180,Euro!$B$29:$I$182,8))</f>
        <v>#VALUE!</v>
      </c>
      <c r="I180" s="204"/>
      <c r="J180" s="204" t="e">
        <f aca="false">IF($J$4="Mid",VLOOKUP($A180,Curve_Fetch,VLOOKUP(Control!$AJ$10,Control!$AI$11:$AK$22,3)),VLOOKUP($A180,Euro!$B$29:$M$182,12))</f>
        <v>#VALUE!</v>
      </c>
      <c r="K180" s="205" t="e">
        <f aca="false">IF(Control!$F$18="Physical",IF($K$4="Mid",VLOOKUP($A180,Curve_Fetch,VLOOKUP(Control!$AJ$10,Control!$AI$11:$AL$22,4)),VLOOKUP($A180,Euro!$B$29:$Q$182,16)),0)</f>
        <v>#VALUE!</v>
      </c>
      <c r="L180" s="204" t="e">
        <f aca="false">SUM(J180:K180)</f>
        <v>#VALUE!</v>
      </c>
      <c r="M180" s="204"/>
      <c r="N180" s="206" t="e">
        <f aca="false">L180+H180</f>
        <v>#VALUE!</v>
      </c>
      <c r="O180" s="206" t="e">
        <f aca="false">N180+Control!$C$39</f>
        <v>#VALUE!</v>
      </c>
      <c r="P180" s="207" t="e">
        <f aca="false">VLOOKUP($A180,CurveFetch!$D$8:$E$367,2)</f>
        <v>#VALUE!</v>
      </c>
      <c r="Q180" s="208" t="e">
        <f aca="false">P180</f>
        <v>#VALUE!</v>
      </c>
      <c r="R180" s="209" t="e">
        <f aca="true">A180-1-TODAY()</f>
        <v>#VALUE!</v>
      </c>
      <c r="S180" s="210" t="e">
        <f aca="false">VLOOKUP($A180,Curve_Fetch,VLOOKUP(Control!$AJ$10,Control!$AI$11:$AM$22,5))</f>
        <v>#VALUE!</v>
      </c>
      <c r="T180" s="211" t="e">
        <f aca="false">EURO(N180,O180,P180,Q180,S180,R180,IF(Control!$C$38="Call",1,0),0)</f>
        <v>#NAME?</v>
      </c>
      <c r="U180" s="174" t="e">
        <f aca="false">T180*B180*E180</f>
        <v>#VALUE!</v>
      </c>
      <c r="V180" s="212"/>
      <c r="W180" s="213"/>
      <c r="X180" s="213"/>
      <c r="Y180" s="213"/>
      <c r="AA180" s="214"/>
      <c r="AB180" s="214"/>
      <c r="AC180" s="215"/>
      <c r="AD180" s="216"/>
      <c r="AE180" s="217"/>
      <c r="AF180" s="218"/>
      <c r="AG180" s="219"/>
      <c r="AH180" s="220"/>
      <c r="AI180" s="174"/>
      <c r="AJ180" s="171" t="e">
        <f aca="false">Y180-L180</f>
        <v>#VALUE!</v>
      </c>
      <c r="AL180" s="208" t="e">
        <f aca="false">VLOOKUP($C180,Curve_Fetch,2)+Cost_of_Funds</f>
        <v>#VALUE!</v>
      </c>
      <c r="AM180" s="210" t="e">
        <f aca="false">1/(1+AL180/2)^(2*(C180-Val_Date)/365.25)</f>
        <v>#VALUE!</v>
      </c>
      <c r="AO180" s="222" t="e">
        <f aca="false">$B180*$E180*$AM180</f>
        <v>#VALUE!</v>
      </c>
      <c r="AP180" s="222"/>
      <c r="AQ180" s="222" t="e">
        <f aca="false">H180*AO180</f>
        <v>#VALUE!</v>
      </c>
      <c r="AR180" s="222"/>
      <c r="AS180" s="174" t="e">
        <f aca="false">J180*$AO180</f>
        <v>#VALUE!</v>
      </c>
      <c r="AT180" s="174" t="e">
        <f aca="false">K180*$AO180</f>
        <v>#VALUE!</v>
      </c>
      <c r="AU180" s="174" t="e">
        <f aca="false">L180*$AO180</f>
        <v>#VALUE!</v>
      </c>
      <c r="AV180" s="174"/>
      <c r="AW180" s="174"/>
      <c r="AY180" s="220"/>
      <c r="AZ180" s="220"/>
      <c r="BA180" s="223"/>
      <c r="BC180" s="220"/>
      <c r="BE180" s="206"/>
    </row>
    <row r="181" customFormat="false" ht="12.75" hidden="false" customHeight="false" outlineLevel="0" collapsed="false">
      <c r="A181" s="167" t="e">
        <f aca="false">([1]!edate,A180,1)</f>
        <v>#VALUE!</v>
      </c>
      <c r="B181" s="201" t="e">
        <f aca="false">A182-A181</f>
        <v>#VALUE!</v>
      </c>
      <c r="C181" s="202" t="e">
        <f aca="false">IF(Control!$F$18="Physical",Model!A182+24,Model!A182)</f>
        <v>#VALUE!</v>
      </c>
      <c r="E181" s="203" t="e">
        <f aca="false">IF($A181&lt;End_Date,IF(Control!$C$20="Flat",Control!$C$21,VLOOKUP(Model!$A181,Euro!$B$29:$D$182,3)),0)</f>
        <v>#VALUE!</v>
      </c>
      <c r="F181" s="203" t="e">
        <f aca="false">E181*B181</f>
        <v>#VALUE!</v>
      </c>
      <c r="H181" s="204" t="e">
        <f aca="false">IF(Control!$C$27="Mid",VLOOKUP($A181,CurveFetch!$D$8:$F$367,3),VLOOKUP($A181,Euro!$B$29:$I$182,8))</f>
        <v>#VALUE!</v>
      </c>
      <c r="I181" s="204"/>
      <c r="J181" s="204" t="e">
        <f aca="false">IF($J$4="Mid",VLOOKUP($A181,Curve_Fetch,VLOOKUP(Control!$AJ$10,Control!$AI$11:$AK$22,3)),VLOOKUP($A181,Euro!$B$29:$M$182,12))</f>
        <v>#VALUE!</v>
      </c>
      <c r="K181" s="205" t="e">
        <f aca="false">IF(Control!$F$18="Physical",IF($K$4="Mid",VLOOKUP($A181,Curve_Fetch,VLOOKUP(Control!$AJ$10,Control!$AI$11:$AL$22,4)),VLOOKUP($A181,Euro!$B$29:$Q$182,16)),0)</f>
        <v>#VALUE!</v>
      </c>
      <c r="L181" s="204" t="e">
        <f aca="false">SUM(J181:K181)</f>
        <v>#VALUE!</v>
      </c>
      <c r="M181" s="204"/>
      <c r="N181" s="206" t="e">
        <f aca="false">L181+H181</f>
        <v>#VALUE!</v>
      </c>
      <c r="O181" s="206" t="e">
        <f aca="false">N181+Control!$C$39</f>
        <v>#VALUE!</v>
      </c>
      <c r="P181" s="207" t="e">
        <f aca="false">VLOOKUP($A181,CurveFetch!$D$8:$E$367,2)</f>
        <v>#VALUE!</v>
      </c>
      <c r="Q181" s="208" t="e">
        <f aca="false">P181</f>
        <v>#VALUE!</v>
      </c>
      <c r="R181" s="209" t="e">
        <f aca="true">A181-1-TODAY()</f>
        <v>#VALUE!</v>
      </c>
      <c r="S181" s="210" t="e">
        <f aca="false">VLOOKUP($A181,Curve_Fetch,VLOOKUP(Control!$AJ$10,Control!$AI$11:$AM$22,5))</f>
        <v>#VALUE!</v>
      </c>
      <c r="T181" s="211" t="e">
        <f aca="false">EURO(N181,O181,P181,Q181,S181,R181,IF(Control!$C$38="Call",1,0),0)</f>
        <v>#NAME?</v>
      </c>
      <c r="U181" s="174" t="e">
        <f aca="false">T181*B181*E181</f>
        <v>#VALUE!</v>
      </c>
      <c r="V181" s="212"/>
      <c r="W181" s="213"/>
      <c r="X181" s="213"/>
      <c r="Y181" s="213"/>
      <c r="AA181" s="214"/>
      <c r="AB181" s="214"/>
      <c r="AC181" s="215"/>
      <c r="AD181" s="216"/>
      <c r="AE181" s="217"/>
      <c r="AF181" s="218"/>
      <c r="AG181" s="219"/>
      <c r="AH181" s="220"/>
      <c r="AI181" s="174"/>
      <c r="AJ181" s="171" t="e">
        <f aca="false">Y181-L181</f>
        <v>#VALUE!</v>
      </c>
      <c r="AL181" s="208" t="e">
        <f aca="false">VLOOKUP($C181,Curve_Fetch,2)+Cost_of_Funds</f>
        <v>#VALUE!</v>
      </c>
      <c r="AM181" s="210" t="e">
        <f aca="false">1/(1+AL181/2)^(2*(C181-Val_Date)/365.25)</f>
        <v>#VALUE!</v>
      </c>
      <c r="AO181" s="222" t="e">
        <f aca="false">$B181*$E181*$AM181</f>
        <v>#VALUE!</v>
      </c>
      <c r="AP181" s="222"/>
      <c r="AQ181" s="222" t="e">
        <f aca="false">H181*AO181</f>
        <v>#VALUE!</v>
      </c>
      <c r="AR181" s="222"/>
      <c r="AS181" s="174" t="e">
        <f aca="false">J181*$AO181</f>
        <v>#VALUE!</v>
      </c>
      <c r="AT181" s="174" t="e">
        <f aca="false">K181*$AO181</f>
        <v>#VALUE!</v>
      </c>
      <c r="AU181" s="174" t="e">
        <f aca="false">L181*$AO181</f>
        <v>#VALUE!</v>
      </c>
      <c r="AV181" s="174"/>
      <c r="AW181" s="174"/>
      <c r="AY181" s="220"/>
      <c r="AZ181" s="220"/>
      <c r="BA181" s="223"/>
      <c r="BC181" s="220"/>
      <c r="BE181" s="206"/>
    </row>
    <row r="182" customFormat="false" ht="12.75" hidden="false" customHeight="false" outlineLevel="0" collapsed="false">
      <c r="A182" s="167" t="e">
        <f aca="false">([1]!edate,A181,1)</f>
        <v>#VALUE!</v>
      </c>
      <c r="B182" s="201" t="e">
        <f aca="false">A183-A182</f>
        <v>#VALUE!</v>
      </c>
      <c r="C182" s="202" t="e">
        <f aca="false">IF(Control!$F$18="Physical",Model!A183+24,Model!A183)</f>
        <v>#VALUE!</v>
      </c>
      <c r="E182" s="203" t="e">
        <f aca="false">IF($A182&lt;End_Date,IF(Control!$C$20="Flat",Control!$C$21,VLOOKUP(Model!$A182,Euro!$B$29:$D$182,3)),0)</f>
        <v>#VALUE!</v>
      </c>
      <c r="F182" s="203" t="e">
        <f aca="false">E182*B182</f>
        <v>#VALUE!</v>
      </c>
      <c r="H182" s="204" t="e">
        <f aca="false">IF(Control!$C$27="Mid",VLOOKUP($A182,CurveFetch!$D$8:$F$367,3),VLOOKUP($A182,Euro!$B$29:$I$182,8))</f>
        <v>#VALUE!</v>
      </c>
      <c r="I182" s="204"/>
      <c r="J182" s="204" t="e">
        <f aca="false">IF($J$4="Mid",VLOOKUP($A182,Curve_Fetch,VLOOKUP(Control!$AJ$10,Control!$AI$11:$AK$22,3)),VLOOKUP($A182,Euro!$B$29:$M$182,12))</f>
        <v>#VALUE!</v>
      </c>
      <c r="K182" s="205" t="e">
        <f aca="false">IF(Control!$F$18="Physical",IF($K$4="Mid",VLOOKUP($A182,Curve_Fetch,VLOOKUP(Control!$AJ$10,Control!$AI$11:$AL$22,4)),VLOOKUP($A182,Euro!$B$29:$Q$182,16)),0)</f>
        <v>#VALUE!</v>
      </c>
      <c r="L182" s="204" t="e">
        <f aca="false">SUM(J182:K182)</f>
        <v>#VALUE!</v>
      </c>
      <c r="M182" s="204"/>
      <c r="N182" s="206" t="e">
        <f aca="false">L182+H182</f>
        <v>#VALUE!</v>
      </c>
      <c r="O182" s="206" t="e">
        <f aca="false">N182+Control!$C$39</f>
        <v>#VALUE!</v>
      </c>
      <c r="P182" s="207" t="e">
        <f aca="false">VLOOKUP($A182,CurveFetch!$D$8:$E$367,2)</f>
        <v>#VALUE!</v>
      </c>
      <c r="Q182" s="208" t="e">
        <f aca="false">P182</f>
        <v>#VALUE!</v>
      </c>
      <c r="R182" s="209" t="e">
        <f aca="true">A182-1-TODAY()</f>
        <v>#VALUE!</v>
      </c>
      <c r="S182" s="210" t="e">
        <f aca="false">VLOOKUP($A182,Curve_Fetch,VLOOKUP(Control!$AJ$10,Control!$AI$11:$AM$22,5))</f>
        <v>#VALUE!</v>
      </c>
      <c r="T182" s="211" t="e">
        <f aca="false">EURO(N182,O182,P182,Q182,S182,R182,IF(Control!$C$38="Call",1,0),0)</f>
        <v>#NAME?</v>
      </c>
      <c r="U182" s="174" t="e">
        <f aca="false">T182*B182*E182</f>
        <v>#VALUE!</v>
      </c>
      <c r="V182" s="212"/>
      <c r="W182" s="213"/>
      <c r="X182" s="213"/>
      <c r="Y182" s="213"/>
      <c r="AA182" s="214"/>
      <c r="AB182" s="214"/>
      <c r="AC182" s="215"/>
      <c r="AD182" s="216"/>
      <c r="AE182" s="217"/>
      <c r="AF182" s="218"/>
      <c r="AG182" s="219"/>
      <c r="AH182" s="220"/>
      <c r="AI182" s="174"/>
      <c r="AJ182" s="171" t="e">
        <f aca="false">Y182-L182</f>
        <v>#VALUE!</v>
      </c>
      <c r="AL182" s="208" t="e">
        <f aca="false">VLOOKUP($C182,Curve_Fetch,2)+Cost_of_Funds</f>
        <v>#VALUE!</v>
      </c>
      <c r="AM182" s="210" t="e">
        <f aca="false">1/(1+AL182/2)^(2*(C182-Val_Date)/365.25)</f>
        <v>#VALUE!</v>
      </c>
      <c r="AO182" s="222" t="e">
        <f aca="false">$B182*$E182*$AM182</f>
        <v>#VALUE!</v>
      </c>
      <c r="AP182" s="222"/>
      <c r="AQ182" s="222" t="e">
        <f aca="false">H182*AO182</f>
        <v>#VALUE!</v>
      </c>
      <c r="AR182" s="222"/>
      <c r="AS182" s="174" t="e">
        <f aca="false">J182*$AO182</f>
        <v>#VALUE!</v>
      </c>
      <c r="AT182" s="174" t="e">
        <f aca="false">K182*$AO182</f>
        <v>#VALUE!</v>
      </c>
      <c r="AU182" s="174" t="e">
        <f aca="false">L182*$AO182</f>
        <v>#VALUE!</v>
      </c>
      <c r="AV182" s="174"/>
      <c r="AW182" s="174"/>
      <c r="AY182" s="220"/>
      <c r="AZ182" s="220"/>
      <c r="BA182" s="223"/>
      <c r="BC182" s="220"/>
      <c r="BE182" s="206"/>
    </row>
    <row r="183" customFormat="false" ht="12.75" hidden="false" customHeight="false" outlineLevel="0" collapsed="false">
      <c r="A183" s="167" t="e">
        <f aca="false">([1]!edate,A182,1)</f>
        <v>#VALUE!</v>
      </c>
      <c r="B183" s="201" t="e">
        <f aca="false">A184-A183</f>
        <v>#VALUE!</v>
      </c>
      <c r="C183" s="202" t="e">
        <f aca="false">IF(Control!$F$18="Physical",Model!A184+24,Model!A184)</f>
        <v>#VALUE!</v>
      </c>
      <c r="E183" s="203" t="e">
        <f aca="false">IF($A183&lt;End_Date,IF(Control!$C$20="Flat",Control!$C$21,VLOOKUP(Model!$A183,Euro!$B$29:$D$182,3)),0)</f>
        <v>#VALUE!</v>
      </c>
      <c r="F183" s="203" t="e">
        <f aca="false">E183*B183</f>
        <v>#VALUE!</v>
      </c>
      <c r="H183" s="204" t="e">
        <f aca="false">IF(Control!$C$27="Mid",VLOOKUP($A183,CurveFetch!$D$8:$F$367,3),VLOOKUP($A183,Euro!$B$29:$I$182,8))</f>
        <v>#VALUE!</v>
      </c>
      <c r="I183" s="204"/>
      <c r="J183" s="204" t="e">
        <f aca="false">IF($J$4="Mid",VLOOKUP($A183,Curve_Fetch,VLOOKUP(Control!$AJ$10,Control!$AI$11:$AK$22,3)),VLOOKUP($A183,Euro!$B$29:$M$182,12))</f>
        <v>#VALUE!</v>
      </c>
      <c r="K183" s="205" t="e">
        <f aca="false">IF(Control!$F$18="Physical",IF($K$4="Mid",VLOOKUP($A183,Curve_Fetch,VLOOKUP(Control!$AJ$10,Control!$AI$11:$AL$22,4)),VLOOKUP($A183,Euro!$B$29:$Q$182,16)),0)</f>
        <v>#VALUE!</v>
      </c>
      <c r="L183" s="204" t="e">
        <f aca="false">SUM(J183:K183)</f>
        <v>#VALUE!</v>
      </c>
      <c r="M183" s="204"/>
      <c r="N183" s="206" t="e">
        <f aca="false">L183+H183</f>
        <v>#VALUE!</v>
      </c>
      <c r="O183" s="206" t="e">
        <f aca="false">N183+Control!$C$39</f>
        <v>#VALUE!</v>
      </c>
      <c r="P183" s="207" t="e">
        <f aca="false">VLOOKUP($A183,CurveFetch!$D$8:$E$367,2)</f>
        <v>#VALUE!</v>
      </c>
      <c r="Q183" s="208" t="e">
        <f aca="false">P183</f>
        <v>#VALUE!</v>
      </c>
      <c r="R183" s="209" t="e">
        <f aca="true">A183-1-TODAY()</f>
        <v>#VALUE!</v>
      </c>
      <c r="S183" s="210" t="e">
        <f aca="false">VLOOKUP($A183,Curve_Fetch,VLOOKUP(Control!$AJ$10,Control!$AI$11:$AM$22,5))</f>
        <v>#VALUE!</v>
      </c>
      <c r="T183" s="211" t="e">
        <f aca="false">EURO(N183,O183,P183,Q183,S183,R183,IF(Control!$C$38="Call",1,0),0)</f>
        <v>#NAME?</v>
      </c>
      <c r="U183" s="174" t="e">
        <f aca="false">T183*B183*E183</f>
        <v>#VALUE!</v>
      </c>
      <c r="V183" s="212"/>
      <c r="W183" s="213"/>
      <c r="X183" s="213"/>
      <c r="Y183" s="213"/>
      <c r="AA183" s="214"/>
      <c r="AB183" s="214"/>
      <c r="AC183" s="215"/>
      <c r="AD183" s="216"/>
      <c r="AE183" s="217"/>
      <c r="AF183" s="218"/>
      <c r="AG183" s="219"/>
      <c r="AH183" s="220"/>
      <c r="AI183" s="174"/>
      <c r="AJ183" s="171" t="e">
        <f aca="false">Y183-L183</f>
        <v>#VALUE!</v>
      </c>
      <c r="AL183" s="208" t="e">
        <f aca="false">VLOOKUP($C183,Curve_Fetch,2)+Cost_of_Funds</f>
        <v>#VALUE!</v>
      </c>
      <c r="AM183" s="210" t="e">
        <f aca="false">1/(1+AL183/2)^(2*(C183-Val_Date)/365.25)</f>
        <v>#VALUE!</v>
      </c>
      <c r="AO183" s="222" t="e">
        <f aca="false">$B183*$E183*$AM183</f>
        <v>#VALUE!</v>
      </c>
      <c r="AP183" s="222"/>
      <c r="AQ183" s="222" t="e">
        <f aca="false">H183*AO183</f>
        <v>#VALUE!</v>
      </c>
      <c r="AR183" s="222"/>
      <c r="AS183" s="174" t="e">
        <f aca="false">J183*$AO183</f>
        <v>#VALUE!</v>
      </c>
      <c r="AT183" s="174" t="e">
        <f aca="false">K183*$AO183</f>
        <v>#VALUE!</v>
      </c>
      <c r="AU183" s="174" t="e">
        <f aca="false">L183*$AO183</f>
        <v>#VALUE!</v>
      </c>
      <c r="AV183" s="174"/>
      <c r="AW183" s="174"/>
      <c r="AY183" s="220"/>
      <c r="AZ183" s="220"/>
      <c r="BA183" s="223"/>
      <c r="BC183" s="220"/>
      <c r="BE183" s="206"/>
    </row>
    <row r="184" customFormat="false" ht="12.75" hidden="false" customHeight="false" outlineLevel="0" collapsed="false">
      <c r="A184" s="167" t="e">
        <f aca="false">([1]!edate,A183,1)</f>
        <v>#VALUE!</v>
      </c>
      <c r="B184" s="201" t="e">
        <f aca="false">A185-A184</f>
        <v>#VALUE!</v>
      </c>
      <c r="C184" s="202" t="e">
        <f aca="false">IF(Control!$F$18="Physical",Model!A185+24,Model!A185)</f>
        <v>#VALUE!</v>
      </c>
      <c r="E184" s="203" t="e">
        <f aca="false">IF($A184&lt;End_Date,IF(Control!$C$20="Flat",Control!$C$21,VLOOKUP(Model!$A184,Euro!$B$29:$D$182,3)),0)</f>
        <v>#VALUE!</v>
      </c>
      <c r="F184" s="203" t="e">
        <f aca="false">E184*B184</f>
        <v>#VALUE!</v>
      </c>
      <c r="H184" s="204" t="e">
        <f aca="false">IF(Control!$C$27="Mid",VLOOKUP($A184,CurveFetch!$D$8:$F$367,3),VLOOKUP($A184,Euro!$B$29:$I$182,8))</f>
        <v>#VALUE!</v>
      </c>
      <c r="I184" s="204"/>
      <c r="J184" s="204" t="e">
        <f aca="false">IF($J$4="Mid",VLOOKUP($A184,Curve_Fetch,VLOOKUP(Control!$AJ$10,Control!$AI$11:$AK$22,3)),VLOOKUP($A184,Euro!$B$29:$M$182,12))</f>
        <v>#VALUE!</v>
      </c>
      <c r="K184" s="205" t="e">
        <f aca="false">IF(Control!$F$18="Physical",IF($K$4="Mid",VLOOKUP($A184,Curve_Fetch,VLOOKUP(Control!$AJ$10,Control!$AI$11:$AL$22,4)),VLOOKUP($A184,Euro!$B$29:$Q$182,16)),0)</f>
        <v>#VALUE!</v>
      </c>
      <c r="L184" s="204" t="e">
        <f aca="false">SUM(J184:K184)</f>
        <v>#VALUE!</v>
      </c>
      <c r="M184" s="204"/>
      <c r="N184" s="206" t="e">
        <f aca="false">L184+H184</f>
        <v>#VALUE!</v>
      </c>
      <c r="O184" s="206" t="e">
        <f aca="false">N184+Control!$C$39</f>
        <v>#VALUE!</v>
      </c>
      <c r="P184" s="207" t="e">
        <f aca="false">VLOOKUP($A184,CurveFetch!$D$8:$E$367,2)</f>
        <v>#VALUE!</v>
      </c>
      <c r="Q184" s="208" t="e">
        <f aca="false">P184</f>
        <v>#VALUE!</v>
      </c>
      <c r="R184" s="209" t="e">
        <f aca="true">A184-1-TODAY()</f>
        <v>#VALUE!</v>
      </c>
      <c r="S184" s="210" t="e">
        <f aca="false">VLOOKUP($A184,Curve_Fetch,VLOOKUP(Control!$AJ$10,Control!$AI$11:$AM$22,5))</f>
        <v>#VALUE!</v>
      </c>
      <c r="T184" s="211" t="e">
        <f aca="false">EURO(N184,O184,P184,Q184,S184,R184,IF(Control!$C$38="Call",1,0),0)</f>
        <v>#NAME?</v>
      </c>
      <c r="U184" s="174" t="e">
        <f aca="false">T184*B184*E184</f>
        <v>#VALUE!</v>
      </c>
      <c r="V184" s="212"/>
      <c r="W184" s="213"/>
      <c r="X184" s="213"/>
      <c r="Y184" s="213"/>
      <c r="AA184" s="214"/>
      <c r="AB184" s="214"/>
      <c r="AC184" s="215"/>
      <c r="AD184" s="216"/>
      <c r="AE184" s="217"/>
      <c r="AF184" s="218"/>
      <c r="AG184" s="219"/>
      <c r="AH184" s="220"/>
      <c r="AI184" s="174"/>
      <c r="AJ184" s="171" t="e">
        <f aca="false">Y184-L184</f>
        <v>#VALUE!</v>
      </c>
      <c r="AL184" s="208" t="e">
        <f aca="false">VLOOKUP($C184,Curve_Fetch,2)+Cost_of_Funds</f>
        <v>#VALUE!</v>
      </c>
      <c r="AM184" s="210" t="e">
        <f aca="false">1/(1+AL184/2)^(2*(C184-Val_Date)/365.25)</f>
        <v>#VALUE!</v>
      </c>
      <c r="AO184" s="222" t="e">
        <f aca="false">$B184*$E184*$AM184</f>
        <v>#VALUE!</v>
      </c>
      <c r="AP184" s="222"/>
      <c r="AQ184" s="222" t="e">
        <f aca="false">H184*AO184</f>
        <v>#VALUE!</v>
      </c>
      <c r="AR184" s="222"/>
      <c r="AS184" s="174" t="e">
        <f aca="false">J184*$AO184</f>
        <v>#VALUE!</v>
      </c>
      <c r="AT184" s="174" t="e">
        <f aca="false">K184*$AO184</f>
        <v>#VALUE!</v>
      </c>
      <c r="AU184" s="174" t="e">
        <f aca="false">L184*$AO184</f>
        <v>#VALUE!</v>
      </c>
      <c r="AV184" s="174"/>
      <c r="AW184" s="174"/>
      <c r="AY184" s="220"/>
      <c r="AZ184" s="220"/>
      <c r="BA184" s="223"/>
      <c r="BC184" s="220"/>
      <c r="BE184" s="206"/>
    </row>
    <row r="185" customFormat="false" ht="12.75" hidden="false" customHeight="false" outlineLevel="0" collapsed="false">
      <c r="A185" s="167" t="e">
        <f aca="false">([1]!edate,A184,1)</f>
        <v>#VALUE!</v>
      </c>
      <c r="B185" s="201" t="e">
        <f aca="false">A186-A185</f>
        <v>#VALUE!</v>
      </c>
      <c r="C185" s="202" t="e">
        <f aca="false">IF(Control!$F$18="Physical",Model!A186+24,Model!A186)</f>
        <v>#VALUE!</v>
      </c>
      <c r="E185" s="203" t="e">
        <f aca="false">IF($A185&lt;End_Date,IF(Control!$C$20="Flat",Control!$C$21,VLOOKUP(Model!$A185,Euro!$B$29:$D$182,3)),0)</f>
        <v>#VALUE!</v>
      </c>
      <c r="F185" s="203" t="e">
        <f aca="false">E185*B185</f>
        <v>#VALUE!</v>
      </c>
      <c r="H185" s="204" t="e">
        <f aca="false">IF(Control!$C$27="Mid",VLOOKUP($A185,CurveFetch!$D$8:$F$367,3),VLOOKUP($A185,Euro!$B$29:$I$182,8))</f>
        <v>#VALUE!</v>
      </c>
      <c r="I185" s="204"/>
      <c r="J185" s="204" t="e">
        <f aca="false">IF($J$4="Mid",VLOOKUP($A185,Curve_Fetch,VLOOKUP(Control!$AJ$10,Control!$AI$11:$AK$22,3)),VLOOKUP($A185,Euro!$B$29:$M$182,12))</f>
        <v>#VALUE!</v>
      </c>
      <c r="K185" s="205" t="e">
        <f aca="false">IF(Control!$F$18="Physical",IF($K$4="Mid",VLOOKUP($A185,Curve_Fetch,VLOOKUP(Control!$AJ$10,Control!$AI$11:$AL$22,4)),VLOOKUP($A185,Euro!$B$29:$Q$182,16)),0)</f>
        <v>#VALUE!</v>
      </c>
      <c r="L185" s="204" t="e">
        <f aca="false">SUM(J185:K185)</f>
        <v>#VALUE!</v>
      </c>
      <c r="M185" s="204"/>
      <c r="N185" s="206" t="e">
        <f aca="false">L185+H185</f>
        <v>#VALUE!</v>
      </c>
      <c r="O185" s="206" t="e">
        <f aca="false">N185+Control!$C$39</f>
        <v>#VALUE!</v>
      </c>
      <c r="P185" s="207" t="e">
        <f aca="false">VLOOKUP($A185,CurveFetch!$D$8:$E$367,2)</f>
        <v>#VALUE!</v>
      </c>
      <c r="Q185" s="208" t="e">
        <f aca="false">P185</f>
        <v>#VALUE!</v>
      </c>
      <c r="R185" s="209" t="e">
        <f aca="true">A185-1-TODAY()</f>
        <v>#VALUE!</v>
      </c>
      <c r="S185" s="210" t="e">
        <f aca="false">VLOOKUP($A185,Curve_Fetch,VLOOKUP(Control!$AJ$10,Control!$AI$11:$AM$22,5))</f>
        <v>#VALUE!</v>
      </c>
      <c r="T185" s="211" t="e">
        <f aca="false">EURO(N185,O185,P185,Q185,S185,R185,IF(Control!$C$38="Call",1,0),0)</f>
        <v>#NAME?</v>
      </c>
      <c r="U185" s="174" t="e">
        <f aca="false">T185*B185*E185</f>
        <v>#VALUE!</v>
      </c>
      <c r="V185" s="212"/>
      <c r="W185" s="213"/>
      <c r="X185" s="213"/>
      <c r="Y185" s="213"/>
      <c r="AA185" s="214"/>
      <c r="AB185" s="214"/>
      <c r="AC185" s="215"/>
      <c r="AD185" s="216"/>
      <c r="AE185" s="217"/>
      <c r="AF185" s="218"/>
      <c r="AG185" s="219"/>
      <c r="AH185" s="220"/>
      <c r="AI185" s="174"/>
      <c r="AJ185" s="171" t="e">
        <f aca="false">Y185-L185</f>
        <v>#VALUE!</v>
      </c>
      <c r="AL185" s="208" t="e">
        <f aca="false">VLOOKUP($C185,Curve_Fetch,2)+Cost_of_Funds</f>
        <v>#VALUE!</v>
      </c>
      <c r="AM185" s="210" t="e">
        <f aca="false">1/(1+AL185/2)^(2*(C185-Val_Date)/365.25)</f>
        <v>#VALUE!</v>
      </c>
      <c r="AO185" s="222" t="e">
        <f aca="false">$B185*$E185*$AM185</f>
        <v>#VALUE!</v>
      </c>
      <c r="AP185" s="222"/>
      <c r="AQ185" s="222" t="e">
        <f aca="false">H185*AO185</f>
        <v>#VALUE!</v>
      </c>
      <c r="AR185" s="222"/>
      <c r="AS185" s="174" t="e">
        <f aca="false">J185*$AO185</f>
        <v>#VALUE!</v>
      </c>
      <c r="AT185" s="174" t="e">
        <f aca="false">K185*$AO185</f>
        <v>#VALUE!</v>
      </c>
      <c r="AU185" s="174" t="e">
        <f aca="false">L185*$AO185</f>
        <v>#VALUE!</v>
      </c>
      <c r="AV185" s="174"/>
      <c r="AW185" s="174"/>
      <c r="AY185" s="220"/>
      <c r="AZ185" s="220"/>
      <c r="BA185" s="223"/>
      <c r="BC185" s="220"/>
      <c r="BE185" s="206"/>
    </row>
    <row r="186" customFormat="false" ht="12.75" hidden="false" customHeight="false" outlineLevel="0" collapsed="false">
      <c r="A186" s="167" t="e">
        <f aca="false">([1]!edate,A185,1)</f>
        <v>#VALUE!</v>
      </c>
      <c r="B186" s="201" t="e">
        <f aca="false">A187-A186</f>
        <v>#VALUE!</v>
      </c>
      <c r="C186" s="202" t="e">
        <f aca="false">IF(Control!$F$18="Physical",Model!A187+24,Model!A187)</f>
        <v>#VALUE!</v>
      </c>
      <c r="E186" s="203" t="e">
        <f aca="false">IF($A186&lt;End_Date,IF(Control!$C$20="Flat",Control!$C$21,VLOOKUP(Model!$A186,Euro!$B$29:$D$182,3)),0)</f>
        <v>#VALUE!</v>
      </c>
      <c r="F186" s="203" t="e">
        <f aca="false">E186*B186</f>
        <v>#VALUE!</v>
      </c>
      <c r="H186" s="204" t="e">
        <f aca="false">IF(Control!$C$27="Mid",VLOOKUP($A186,CurveFetch!$D$8:$F$367,3),VLOOKUP($A186,Euro!$B$29:$I$182,8))</f>
        <v>#VALUE!</v>
      </c>
      <c r="I186" s="204"/>
      <c r="J186" s="204" t="e">
        <f aca="false">IF($J$4="Mid",VLOOKUP($A186,Curve_Fetch,VLOOKUP(Control!$AJ$10,Control!$AI$11:$AK$22,3)),VLOOKUP($A186,Euro!$B$29:$M$182,12))</f>
        <v>#VALUE!</v>
      </c>
      <c r="K186" s="205" t="e">
        <f aca="false">IF(Control!$F$18="Physical",IF($K$4="Mid",VLOOKUP($A186,Curve_Fetch,VLOOKUP(Control!$AJ$10,Control!$AI$11:$AL$22,4)),VLOOKUP($A186,Euro!$B$29:$Q$182,16)),0)</f>
        <v>#VALUE!</v>
      </c>
      <c r="L186" s="204" t="e">
        <f aca="false">SUM(J186:K186)</f>
        <v>#VALUE!</v>
      </c>
      <c r="M186" s="204"/>
      <c r="N186" s="206" t="e">
        <f aca="false">L186+H186</f>
        <v>#VALUE!</v>
      </c>
      <c r="O186" s="206" t="e">
        <f aca="false">N186+Control!$C$39</f>
        <v>#VALUE!</v>
      </c>
      <c r="P186" s="207" t="e">
        <f aca="false">VLOOKUP($A186,CurveFetch!$D$8:$E$367,2)</f>
        <v>#VALUE!</v>
      </c>
      <c r="Q186" s="208" t="e">
        <f aca="false">P186</f>
        <v>#VALUE!</v>
      </c>
      <c r="R186" s="209" t="e">
        <f aca="true">A186-1-TODAY()</f>
        <v>#VALUE!</v>
      </c>
      <c r="S186" s="210" t="e">
        <f aca="false">VLOOKUP($A186,Curve_Fetch,VLOOKUP(Control!$AJ$10,Control!$AI$11:$AM$22,5))</f>
        <v>#VALUE!</v>
      </c>
      <c r="T186" s="211" t="e">
        <f aca="false">EURO(N186,O186,P186,Q186,S186,R186,IF(Control!$C$38="Call",1,0),0)</f>
        <v>#NAME?</v>
      </c>
      <c r="U186" s="174" t="e">
        <f aca="false">T186*B186*E186</f>
        <v>#VALUE!</v>
      </c>
      <c r="V186" s="212"/>
      <c r="W186" s="213"/>
      <c r="X186" s="213"/>
      <c r="Y186" s="213"/>
      <c r="AA186" s="214"/>
      <c r="AB186" s="214"/>
      <c r="AC186" s="215"/>
      <c r="AD186" s="216"/>
      <c r="AE186" s="217"/>
      <c r="AF186" s="218"/>
      <c r="AG186" s="219"/>
      <c r="AH186" s="220"/>
      <c r="AI186" s="174"/>
      <c r="AJ186" s="171" t="e">
        <f aca="false">Y186-L186</f>
        <v>#VALUE!</v>
      </c>
      <c r="AL186" s="208" t="e">
        <f aca="false">VLOOKUP($C186,Curve_Fetch,2)+Cost_of_Funds</f>
        <v>#VALUE!</v>
      </c>
      <c r="AM186" s="210" t="e">
        <f aca="false">1/(1+AL186/2)^(2*(C186-Val_Date)/365.25)</f>
        <v>#VALUE!</v>
      </c>
      <c r="AO186" s="222" t="e">
        <f aca="false">$B186*$E186*$AM186</f>
        <v>#VALUE!</v>
      </c>
      <c r="AP186" s="222"/>
      <c r="AQ186" s="222" t="e">
        <f aca="false">H186*AO186</f>
        <v>#VALUE!</v>
      </c>
      <c r="AR186" s="222"/>
      <c r="AS186" s="174" t="e">
        <f aca="false">J186*$AO186</f>
        <v>#VALUE!</v>
      </c>
      <c r="AT186" s="174" t="e">
        <f aca="false">K186*$AO186</f>
        <v>#VALUE!</v>
      </c>
      <c r="AU186" s="174" t="e">
        <f aca="false">L186*$AO186</f>
        <v>#VALUE!</v>
      </c>
      <c r="AV186" s="174"/>
      <c r="AW186" s="174"/>
      <c r="AY186" s="220"/>
      <c r="AZ186" s="220"/>
      <c r="BA186" s="223"/>
      <c r="BC186" s="220"/>
      <c r="BE186" s="206"/>
    </row>
    <row r="187" customFormat="false" ht="12.75" hidden="false" customHeight="false" outlineLevel="0" collapsed="false">
      <c r="A187" s="167" t="e">
        <f aca="false">([1]!edate,A186,1)</f>
        <v>#VALUE!</v>
      </c>
      <c r="B187" s="201" t="e">
        <f aca="false">A188-A187</f>
        <v>#VALUE!</v>
      </c>
      <c r="C187" s="202" t="e">
        <f aca="false">IF(Control!$F$18="Physical",Model!A188+24,Model!A188)</f>
        <v>#VALUE!</v>
      </c>
      <c r="E187" s="203" t="e">
        <f aca="false">IF($A187&lt;End_Date,IF(Control!$C$20="Flat",Control!$C$21,VLOOKUP(Model!$A187,Euro!$B$29:$D$182,3)),0)</f>
        <v>#VALUE!</v>
      </c>
      <c r="F187" s="203" t="e">
        <f aca="false">E187*B187</f>
        <v>#VALUE!</v>
      </c>
      <c r="H187" s="204" t="e">
        <f aca="false">IF(Control!$C$27="Mid",VLOOKUP($A187,CurveFetch!$D$8:$F$367,3),VLOOKUP($A187,Euro!$B$29:$I$182,8))</f>
        <v>#VALUE!</v>
      </c>
      <c r="I187" s="204"/>
      <c r="J187" s="204" t="e">
        <f aca="false">IF($J$4="Mid",VLOOKUP($A187,Curve_Fetch,VLOOKUP(Control!$AJ$10,Control!$AI$11:$AK$22,3)),VLOOKUP($A187,Euro!$B$29:$M$182,12))</f>
        <v>#VALUE!</v>
      </c>
      <c r="K187" s="205" t="e">
        <f aca="false">IF(Control!$F$18="Physical",IF($K$4="Mid",VLOOKUP($A187,Curve_Fetch,VLOOKUP(Control!$AJ$10,Control!$AI$11:$AL$22,4)),VLOOKUP($A187,Euro!$B$29:$Q$182,16)),0)</f>
        <v>#VALUE!</v>
      </c>
      <c r="L187" s="204" t="e">
        <f aca="false">SUM(J187:K187)</f>
        <v>#VALUE!</v>
      </c>
      <c r="M187" s="204"/>
      <c r="N187" s="206" t="e">
        <f aca="false">L187+H187</f>
        <v>#VALUE!</v>
      </c>
      <c r="O187" s="206" t="e">
        <f aca="false">N187+Control!$C$39</f>
        <v>#VALUE!</v>
      </c>
      <c r="P187" s="207" t="e">
        <f aca="false">VLOOKUP($A187,CurveFetch!$D$8:$E$367,2)</f>
        <v>#VALUE!</v>
      </c>
      <c r="Q187" s="208" t="e">
        <f aca="false">P187</f>
        <v>#VALUE!</v>
      </c>
      <c r="R187" s="209" t="e">
        <f aca="true">A187-1-TODAY()</f>
        <v>#VALUE!</v>
      </c>
      <c r="S187" s="210" t="e">
        <f aca="false">VLOOKUP($A187,Curve_Fetch,VLOOKUP(Control!$AJ$10,Control!$AI$11:$AM$22,5))</f>
        <v>#VALUE!</v>
      </c>
      <c r="T187" s="211" t="e">
        <f aca="false">EURO(N187,O187,P187,Q187,S187,R187,IF(Control!$C$38="Call",1,0),0)</f>
        <v>#NAME?</v>
      </c>
      <c r="U187" s="174" t="e">
        <f aca="false">T187*B187*E187</f>
        <v>#VALUE!</v>
      </c>
      <c r="V187" s="212"/>
      <c r="W187" s="213"/>
      <c r="X187" s="213"/>
      <c r="Y187" s="213"/>
      <c r="AA187" s="214"/>
      <c r="AB187" s="214"/>
      <c r="AC187" s="215"/>
      <c r="AD187" s="216"/>
      <c r="AE187" s="217"/>
      <c r="AF187" s="218"/>
      <c r="AG187" s="219"/>
      <c r="AH187" s="220"/>
      <c r="AI187" s="174"/>
      <c r="AJ187" s="171" t="e">
        <f aca="false">Y187-L187</f>
        <v>#VALUE!</v>
      </c>
      <c r="AL187" s="208" t="e">
        <f aca="false">VLOOKUP($C187,Curve_Fetch,2)+Cost_of_Funds</f>
        <v>#VALUE!</v>
      </c>
      <c r="AM187" s="210" t="e">
        <f aca="false">1/(1+AL187/2)^(2*(C187-Val_Date)/365.25)</f>
        <v>#VALUE!</v>
      </c>
      <c r="AO187" s="222" t="e">
        <f aca="false">$B187*$E187*$AM187</f>
        <v>#VALUE!</v>
      </c>
      <c r="AP187" s="222"/>
      <c r="AQ187" s="222" t="e">
        <f aca="false">H187*AO187</f>
        <v>#VALUE!</v>
      </c>
      <c r="AR187" s="222"/>
      <c r="AS187" s="174" t="e">
        <f aca="false">J187*$AO187</f>
        <v>#VALUE!</v>
      </c>
      <c r="AT187" s="174" t="e">
        <f aca="false">K187*$AO187</f>
        <v>#VALUE!</v>
      </c>
      <c r="AU187" s="174" t="e">
        <f aca="false">L187*$AO187</f>
        <v>#VALUE!</v>
      </c>
      <c r="AV187" s="174"/>
      <c r="AW187" s="174"/>
      <c r="AY187" s="220"/>
      <c r="AZ187" s="220"/>
      <c r="BA187" s="223"/>
      <c r="BC187" s="220"/>
      <c r="BE187" s="206"/>
    </row>
    <row r="188" customFormat="false" ht="12.75" hidden="false" customHeight="false" outlineLevel="0" collapsed="false">
      <c r="A188" s="167" t="e">
        <f aca="false">([1]!edate,A187,1)</f>
        <v>#VALUE!</v>
      </c>
      <c r="B188" s="201" t="e">
        <f aca="false">A189-A188</f>
        <v>#VALUE!</v>
      </c>
      <c r="C188" s="202" t="e">
        <f aca="false">IF(Control!$F$18="Physical",Model!A189+24,Model!A189)</f>
        <v>#VALUE!</v>
      </c>
      <c r="E188" s="203" t="e">
        <f aca="false">IF($A188&lt;End_Date,IF(Control!$C$20="Flat",Control!$C$21,VLOOKUP(Model!$A188,Euro!$B$29:$D$182,3)),0)</f>
        <v>#VALUE!</v>
      </c>
      <c r="F188" s="203" t="e">
        <f aca="false">E188*B188</f>
        <v>#VALUE!</v>
      </c>
      <c r="H188" s="204" t="e">
        <f aca="false">IF(Control!$C$27="Mid",VLOOKUP($A188,CurveFetch!$D$8:$F$367,3),VLOOKUP($A188,Euro!$B$29:$I$182,8))</f>
        <v>#VALUE!</v>
      </c>
      <c r="I188" s="204"/>
      <c r="J188" s="204" t="e">
        <f aca="false">IF($J$4="Mid",VLOOKUP($A188,Curve_Fetch,VLOOKUP(Control!$AJ$10,Control!$AI$11:$AK$22,3)),VLOOKUP($A188,Euro!$B$29:$M$182,12))</f>
        <v>#VALUE!</v>
      </c>
      <c r="K188" s="205" t="e">
        <f aca="false">IF(Control!$F$18="Physical",IF($K$4="Mid",VLOOKUP($A188,Curve_Fetch,VLOOKUP(Control!$AJ$10,Control!$AI$11:$AL$22,4)),VLOOKUP($A188,Euro!$B$29:$Q$182,16)),0)</f>
        <v>#VALUE!</v>
      </c>
      <c r="L188" s="204" t="e">
        <f aca="false">SUM(J188:K188)</f>
        <v>#VALUE!</v>
      </c>
      <c r="M188" s="204"/>
      <c r="N188" s="206" t="e">
        <f aca="false">L188+H188</f>
        <v>#VALUE!</v>
      </c>
      <c r="O188" s="206" t="e">
        <f aca="false">N188+Control!$C$39</f>
        <v>#VALUE!</v>
      </c>
      <c r="P188" s="207" t="e">
        <f aca="false">VLOOKUP($A188,CurveFetch!$D$8:$E$367,2)</f>
        <v>#VALUE!</v>
      </c>
      <c r="Q188" s="208" t="e">
        <f aca="false">P188</f>
        <v>#VALUE!</v>
      </c>
      <c r="R188" s="209" t="e">
        <f aca="true">A188-1-TODAY()</f>
        <v>#VALUE!</v>
      </c>
      <c r="S188" s="210" t="e">
        <f aca="false">VLOOKUP($A188,Curve_Fetch,VLOOKUP(Control!$AJ$10,Control!$AI$11:$AM$22,5))</f>
        <v>#VALUE!</v>
      </c>
      <c r="T188" s="211" t="e">
        <f aca="false">EURO(N188,O188,P188,Q188,S188,R188,IF(Control!$C$38="Call",1,0),0)</f>
        <v>#NAME?</v>
      </c>
      <c r="U188" s="174" t="e">
        <f aca="false">T188*B188*E188</f>
        <v>#VALUE!</v>
      </c>
      <c r="V188" s="212"/>
      <c r="W188" s="213"/>
      <c r="X188" s="213"/>
      <c r="Y188" s="213"/>
      <c r="AA188" s="214"/>
      <c r="AB188" s="214"/>
      <c r="AC188" s="215"/>
      <c r="AD188" s="216"/>
      <c r="AE188" s="217"/>
      <c r="AF188" s="218"/>
      <c r="AG188" s="219"/>
      <c r="AH188" s="220"/>
      <c r="AI188" s="174"/>
      <c r="AJ188" s="171" t="e">
        <f aca="false">Y188-L188</f>
        <v>#VALUE!</v>
      </c>
      <c r="AL188" s="208" t="e">
        <f aca="false">VLOOKUP($C188,Curve_Fetch,2)+Cost_of_Funds</f>
        <v>#VALUE!</v>
      </c>
      <c r="AM188" s="210" t="e">
        <f aca="false">1/(1+AL188/2)^(2*(C188-Val_Date)/365.25)</f>
        <v>#VALUE!</v>
      </c>
      <c r="AO188" s="222" t="e">
        <f aca="false">$B188*$E188*$AM188</f>
        <v>#VALUE!</v>
      </c>
      <c r="AP188" s="222"/>
      <c r="AQ188" s="222" t="e">
        <f aca="false">H188*AO188</f>
        <v>#VALUE!</v>
      </c>
      <c r="AR188" s="222"/>
      <c r="AS188" s="174" t="e">
        <f aca="false">J188*$AO188</f>
        <v>#VALUE!</v>
      </c>
      <c r="AT188" s="174" t="e">
        <f aca="false">K188*$AO188</f>
        <v>#VALUE!</v>
      </c>
      <c r="AU188" s="174" t="e">
        <f aca="false">L188*$AO188</f>
        <v>#VALUE!</v>
      </c>
      <c r="AV188" s="174"/>
      <c r="AW188" s="174"/>
      <c r="AY188" s="220"/>
      <c r="AZ188" s="220"/>
      <c r="BA188" s="223"/>
      <c r="BC188" s="220"/>
      <c r="BE188" s="206"/>
    </row>
    <row r="189" customFormat="false" ht="12.75" hidden="false" customHeight="false" outlineLevel="0" collapsed="false">
      <c r="A189" s="167" t="e">
        <f aca="false">([1]!edate,A188,1)</f>
        <v>#VALUE!</v>
      </c>
      <c r="B189" s="201" t="e">
        <f aca="false">A190-A189</f>
        <v>#VALUE!</v>
      </c>
      <c r="C189" s="202" t="e">
        <f aca="false">IF(Control!$F$18="Physical",Model!A190+24,Model!A190)</f>
        <v>#VALUE!</v>
      </c>
      <c r="E189" s="203" t="e">
        <f aca="false">IF($A189&lt;End_Date,IF(Control!$C$20="Flat",Control!$C$21,VLOOKUP(Model!$A189,Euro!$B$29:$D$182,3)),0)</f>
        <v>#VALUE!</v>
      </c>
      <c r="F189" s="203" t="e">
        <f aca="false">E189*B189</f>
        <v>#VALUE!</v>
      </c>
      <c r="H189" s="204" t="e">
        <f aca="false">IF(Control!$C$27="Mid",VLOOKUP($A189,CurveFetch!$D$8:$F$367,3),VLOOKUP($A189,Euro!$B$29:$I$182,8))</f>
        <v>#VALUE!</v>
      </c>
      <c r="I189" s="204"/>
      <c r="J189" s="204" t="e">
        <f aca="false">IF($J$4="Mid",VLOOKUP($A189,Curve_Fetch,VLOOKUP(Control!$AJ$10,Control!$AI$11:$AK$22,3)),VLOOKUP($A189,Euro!$B$29:$M$182,12))</f>
        <v>#VALUE!</v>
      </c>
      <c r="K189" s="205" t="e">
        <f aca="false">IF(Control!$F$18="Physical",IF($K$4="Mid",VLOOKUP($A189,Curve_Fetch,VLOOKUP(Control!$AJ$10,Control!$AI$11:$AL$22,4)),VLOOKUP($A189,Euro!$B$29:$Q$182,16)),0)</f>
        <v>#VALUE!</v>
      </c>
      <c r="L189" s="204" t="e">
        <f aca="false">SUM(J189:K189)</f>
        <v>#VALUE!</v>
      </c>
      <c r="M189" s="204"/>
      <c r="N189" s="206" t="e">
        <f aca="false">L189+H189</f>
        <v>#VALUE!</v>
      </c>
      <c r="O189" s="206" t="e">
        <f aca="false">N189+Control!$C$39</f>
        <v>#VALUE!</v>
      </c>
      <c r="P189" s="207" t="e">
        <f aca="false">VLOOKUP($A189,CurveFetch!$D$8:$E$367,2)</f>
        <v>#VALUE!</v>
      </c>
      <c r="Q189" s="208" t="e">
        <f aca="false">P189</f>
        <v>#VALUE!</v>
      </c>
      <c r="R189" s="209" t="e">
        <f aca="true">A189-1-TODAY()</f>
        <v>#VALUE!</v>
      </c>
      <c r="S189" s="210" t="e">
        <f aca="false">VLOOKUP($A189,Curve_Fetch,VLOOKUP(Control!$AJ$10,Control!$AI$11:$AM$22,5))</f>
        <v>#VALUE!</v>
      </c>
      <c r="T189" s="211" t="e">
        <f aca="false">EURO(N189,O189,P189,Q189,S189,R189,IF(Control!$C$38="Call",1,0),0)</f>
        <v>#NAME?</v>
      </c>
      <c r="U189" s="174" t="e">
        <f aca="false">T189*B189*E189</f>
        <v>#VALUE!</v>
      </c>
      <c r="V189" s="212"/>
      <c r="W189" s="213"/>
      <c r="X189" s="213"/>
      <c r="Y189" s="213"/>
      <c r="AA189" s="214"/>
      <c r="AB189" s="214"/>
      <c r="AC189" s="215"/>
      <c r="AD189" s="216"/>
      <c r="AE189" s="217"/>
      <c r="AF189" s="218"/>
      <c r="AG189" s="219"/>
      <c r="AH189" s="220"/>
      <c r="AI189" s="174"/>
      <c r="AJ189" s="171" t="e">
        <f aca="false">Y189-L189</f>
        <v>#VALUE!</v>
      </c>
      <c r="AL189" s="208" t="e">
        <f aca="false">VLOOKUP($C189,Curve_Fetch,2)+Cost_of_Funds</f>
        <v>#VALUE!</v>
      </c>
      <c r="AM189" s="210" t="e">
        <f aca="false">1/(1+AL189/2)^(2*(C189-Val_Date)/365.25)</f>
        <v>#VALUE!</v>
      </c>
      <c r="AO189" s="222" t="e">
        <f aca="false">$B189*$E189*$AM189</f>
        <v>#VALUE!</v>
      </c>
      <c r="AP189" s="222"/>
      <c r="AQ189" s="222" t="e">
        <f aca="false">H189*AO189</f>
        <v>#VALUE!</v>
      </c>
      <c r="AR189" s="222"/>
      <c r="AS189" s="174" t="e">
        <f aca="false">J189*$AO189</f>
        <v>#VALUE!</v>
      </c>
      <c r="AT189" s="174" t="e">
        <f aca="false">K189*$AO189</f>
        <v>#VALUE!</v>
      </c>
      <c r="AU189" s="174" t="e">
        <f aca="false">L189*$AO189</f>
        <v>#VALUE!</v>
      </c>
      <c r="AV189" s="174"/>
      <c r="AW189" s="174"/>
      <c r="AY189" s="220"/>
      <c r="AZ189" s="220"/>
      <c r="BA189" s="223"/>
      <c r="BC189" s="220"/>
      <c r="BE189" s="206"/>
    </row>
    <row r="190" customFormat="false" ht="12.75" hidden="false" customHeight="false" outlineLevel="0" collapsed="false">
      <c r="A190" s="167" t="e">
        <f aca="false">([1]!edate,A189,1)</f>
        <v>#VALUE!</v>
      </c>
      <c r="B190" s="201" t="e">
        <f aca="false">A191-A190</f>
        <v>#VALUE!</v>
      </c>
      <c r="C190" s="202" t="e">
        <f aca="false">IF(Control!$F$18="Physical",Model!A191+24,Model!A191)</f>
        <v>#VALUE!</v>
      </c>
      <c r="E190" s="203" t="e">
        <f aca="false">IF($A190&lt;End_Date,IF(Control!$C$20="Flat",Control!$C$21,VLOOKUP(Model!$A190,Euro!$B$29:$D$182,3)),0)</f>
        <v>#VALUE!</v>
      </c>
      <c r="F190" s="203" t="e">
        <f aca="false">E190*B190</f>
        <v>#VALUE!</v>
      </c>
      <c r="H190" s="204" t="e">
        <f aca="false">IF(Control!$C$27="Mid",VLOOKUP($A190,CurveFetch!$D$8:$F$367,3),VLOOKUP($A190,Euro!$B$29:$I$182,8))</f>
        <v>#VALUE!</v>
      </c>
      <c r="I190" s="204"/>
      <c r="J190" s="204" t="e">
        <f aca="false">IF($J$4="Mid",VLOOKUP($A190,Curve_Fetch,VLOOKUP(Control!$AJ$10,Control!$AI$11:$AK$22,3)),VLOOKUP($A190,Euro!$B$29:$M$182,12))</f>
        <v>#VALUE!</v>
      </c>
      <c r="K190" s="205" t="e">
        <f aca="false">IF(Control!$F$18="Physical",IF($K$4="Mid",VLOOKUP($A190,Curve_Fetch,VLOOKUP(Control!$AJ$10,Control!$AI$11:$AL$22,4)),VLOOKUP($A190,Euro!$B$29:$Q$182,16)),0)</f>
        <v>#VALUE!</v>
      </c>
      <c r="L190" s="204" t="e">
        <f aca="false">SUM(J190:K190)</f>
        <v>#VALUE!</v>
      </c>
      <c r="M190" s="204"/>
      <c r="N190" s="206" t="e">
        <f aca="false">L190+H190</f>
        <v>#VALUE!</v>
      </c>
      <c r="O190" s="206" t="e">
        <f aca="false">N190+Control!$C$39</f>
        <v>#VALUE!</v>
      </c>
      <c r="P190" s="207" t="e">
        <f aca="false">VLOOKUP($A190,CurveFetch!$D$8:$E$367,2)</f>
        <v>#VALUE!</v>
      </c>
      <c r="Q190" s="208" t="e">
        <f aca="false">P190</f>
        <v>#VALUE!</v>
      </c>
      <c r="R190" s="209" t="e">
        <f aca="true">A190-1-TODAY()</f>
        <v>#VALUE!</v>
      </c>
      <c r="S190" s="210" t="e">
        <f aca="false">VLOOKUP($A190,Curve_Fetch,VLOOKUP(Control!$AJ$10,Control!$AI$11:$AM$22,5))</f>
        <v>#VALUE!</v>
      </c>
      <c r="T190" s="211" t="e">
        <f aca="false">EURO(N190,O190,P190,Q190,S190,R190,IF(Control!$C$38="Call",1,0),0)</f>
        <v>#NAME?</v>
      </c>
      <c r="U190" s="174" t="e">
        <f aca="false">T190*B190*E190</f>
        <v>#VALUE!</v>
      </c>
      <c r="V190" s="212"/>
      <c r="W190" s="213"/>
      <c r="X190" s="213"/>
      <c r="Y190" s="213"/>
      <c r="AA190" s="214"/>
      <c r="AB190" s="214"/>
      <c r="AC190" s="215"/>
      <c r="AD190" s="216"/>
      <c r="AE190" s="217"/>
      <c r="AF190" s="218"/>
      <c r="AG190" s="219"/>
      <c r="AH190" s="220"/>
      <c r="AI190" s="174"/>
      <c r="AJ190" s="171" t="e">
        <f aca="false">Y190-L190</f>
        <v>#VALUE!</v>
      </c>
      <c r="AL190" s="208" t="e">
        <f aca="false">VLOOKUP($C190,Curve_Fetch,2)+Cost_of_Funds</f>
        <v>#VALUE!</v>
      </c>
      <c r="AM190" s="210" t="e">
        <f aca="false">1/(1+AL190/2)^(2*(C190-Val_Date)/365.25)</f>
        <v>#VALUE!</v>
      </c>
      <c r="AO190" s="222" t="e">
        <f aca="false">$B190*$E190*$AM190</f>
        <v>#VALUE!</v>
      </c>
      <c r="AP190" s="222"/>
      <c r="AQ190" s="222" t="e">
        <f aca="false">H190*AO190</f>
        <v>#VALUE!</v>
      </c>
      <c r="AR190" s="222"/>
      <c r="AS190" s="174" t="e">
        <f aca="false">J190*$AO190</f>
        <v>#VALUE!</v>
      </c>
      <c r="AT190" s="174" t="e">
        <f aca="false">K190*$AO190</f>
        <v>#VALUE!</v>
      </c>
      <c r="AU190" s="174" t="e">
        <f aca="false">L190*$AO190</f>
        <v>#VALUE!</v>
      </c>
      <c r="AV190" s="174"/>
      <c r="AW190" s="174"/>
      <c r="AY190" s="220"/>
      <c r="AZ190" s="220"/>
      <c r="BA190" s="223"/>
      <c r="BC190" s="220"/>
      <c r="BE190" s="206"/>
    </row>
    <row r="191" customFormat="false" ht="12.75" hidden="false" customHeight="false" outlineLevel="0" collapsed="false">
      <c r="A191" s="167" t="e">
        <f aca="false">([1]!edate,A190,1)</f>
        <v>#VALUE!</v>
      </c>
      <c r="B191" s="201" t="e">
        <f aca="false">A192-A191</f>
        <v>#VALUE!</v>
      </c>
      <c r="C191" s="202" t="e">
        <f aca="false">IF(Control!$F$18="Physical",Model!A192+24,Model!A192)</f>
        <v>#VALUE!</v>
      </c>
      <c r="E191" s="203" t="e">
        <f aca="false">IF($A191&lt;End_Date,IF(Control!$C$20="Flat",Control!$C$21,VLOOKUP(Model!$A191,Euro!$B$29:$D$182,3)),0)</f>
        <v>#VALUE!</v>
      </c>
      <c r="F191" s="203" t="e">
        <f aca="false">E191*B191</f>
        <v>#VALUE!</v>
      </c>
      <c r="H191" s="204" t="e">
        <f aca="false">IF(Control!$C$27="Mid",VLOOKUP($A191,CurveFetch!$D$8:$F$367,3),VLOOKUP($A191,Euro!$B$29:$I$182,8))</f>
        <v>#VALUE!</v>
      </c>
      <c r="I191" s="204"/>
      <c r="J191" s="204" t="e">
        <f aca="false">IF($J$4="Mid",VLOOKUP($A191,Curve_Fetch,VLOOKUP(Control!$AJ$10,Control!$AI$11:$AK$22,3)),VLOOKUP($A191,Euro!$B$29:$M$182,12))</f>
        <v>#VALUE!</v>
      </c>
      <c r="K191" s="205" t="e">
        <f aca="false">IF(Control!$F$18="Physical",IF($K$4="Mid",VLOOKUP($A191,Curve_Fetch,VLOOKUP(Control!$AJ$10,Control!$AI$11:$AL$22,4)),VLOOKUP($A191,Euro!$B$29:$Q$182,16)),0)</f>
        <v>#VALUE!</v>
      </c>
      <c r="L191" s="204" t="e">
        <f aca="false">SUM(J191:K191)</f>
        <v>#VALUE!</v>
      </c>
      <c r="M191" s="204"/>
      <c r="N191" s="206" t="e">
        <f aca="false">L191+H191</f>
        <v>#VALUE!</v>
      </c>
      <c r="O191" s="206" t="e">
        <f aca="false">N191+Control!$C$39</f>
        <v>#VALUE!</v>
      </c>
      <c r="P191" s="207" t="e">
        <f aca="false">VLOOKUP($A191,CurveFetch!$D$8:$E$367,2)</f>
        <v>#VALUE!</v>
      </c>
      <c r="Q191" s="208" t="e">
        <f aca="false">P191</f>
        <v>#VALUE!</v>
      </c>
      <c r="R191" s="209" t="e">
        <f aca="true">A191-1-TODAY()</f>
        <v>#VALUE!</v>
      </c>
      <c r="S191" s="210" t="e">
        <f aca="false">VLOOKUP($A191,Curve_Fetch,VLOOKUP(Control!$AJ$10,Control!$AI$11:$AM$22,5))</f>
        <v>#VALUE!</v>
      </c>
      <c r="T191" s="211" t="e">
        <f aca="false">EURO(N191,O191,P191,Q191,S191,R191,IF(Control!$C$38="Call",1,0),0)</f>
        <v>#NAME?</v>
      </c>
      <c r="U191" s="174" t="e">
        <f aca="false">T191*B191*E191</f>
        <v>#VALUE!</v>
      </c>
      <c r="V191" s="212"/>
      <c r="W191" s="213"/>
      <c r="X191" s="213"/>
      <c r="Y191" s="213"/>
      <c r="AA191" s="214"/>
      <c r="AB191" s="214"/>
      <c r="AC191" s="215"/>
      <c r="AD191" s="216"/>
      <c r="AE191" s="217"/>
      <c r="AF191" s="218"/>
      <c r="AG191" s="219"/>
      <c r="AH191" s="220"/>
      <c r="AI191" s="174"/>
      <c r="AJ191" s="171" t="e">
        <f aca="false">Y191-L191</f>
        <v>#VALUE!</v>
      </c>
      <c r="AL191" s="208" t="e">
        <f aca="false">VLOOKUP($C191,Curve_Fetch,2)+Cost_of_Funds</f>
        <v>#VALUE!</v>
      </c>
      <c r="AM191" s="210" t="e">
        <f aca="false">1/(1+AL191/2)^(2*(C191-Val_Date)/365.25)</f>
        <v>#VALUE!</v>
      </c>
      <c r="AO191" s="222" t="e">
        <f aca="false">$B191*$E191*$AM191</f>
        <v>#VALUE!</v>
      </c>
      <c r="AP191" s="222"/>
      <c r="AQ191" s="222" t="e">
        <f aca="false">H191*AO191</f>
        <v>#VALUE!</v>
      </c>
      <c r="AR191" s="222"/>
      <c r="AS191" s="174" t="e">
        <f aca="false">J191*$AO191</f>
        <v>#VALUE!</v>
      </c>
      <c r="AT191" s="174" t="e">
        <f aca="false">K191*$AO191</f>
        <v>#VALUE!</v>
      </c>
      <c r="AU191" s="174" t="e">
        <f aca="false">L191*$AO191</f>
        <v>#VALUE!</v>
      </c>
      <c r="AV191" s="174"/>
      <c r="AW191" s="174"/>
      <c r="AY191" s="220"/>
      <c r="AZ191" s="220"/>
      <c r="BA191" s="223"/>
      <c r="BC191" s="220"/>
      <c r="BE191" s="206"/>
    </row>
    <row r="192" customFormat="false" ht="12.75" hidden="false" customHeight="false" outlineLevel="0" collapsed="false">
      <c r="A192" s="167" t="e">
        <f aca="false">([1]!edate,A191,1)</f>
        <v>#VALUE!</v>
      </c>
      <c r="B192" s="201" t="e">
        <f aca="false">A193-A192</f>
        <v>#VALUE!</v>
      </c>
      <c r="C192" s="202" t="e">
        <f aca="false">IF(Control!$F$18="Physical",Model!A193+24,Model!A193)</f>
        <v>#VALUE!</v>
      </c>
      <c r="E192" s="203" t="e">
        <f aca="false">IF($A192&lt;End_Date,IF(Control!$C$20="Flat",Control!$C$21,VLOOKUP(Model!$A192,Euro!$B$29:$D$182,3)),0)</f>
        <v>#VALUE!</v>
      </c>
      <c r="F192" s="203" t="e">
        <f aca="false">E192*B192</f>
        <v>#VALUE!</v>
      </c>
      <c r="H192" s="204" t="e">
        <f aca="false">IF(Control!$C$27="Mid",VLOOKUP($A192,CurveFetch!$D$8:$F$367,3),VLOOKUP($A192,Euro!$B$29:$I$182,8))</f>
        <v>#VALUE!</v>
      </c>
      <c r="I192" s="204"/>
      <c r="J192" s="204" t="e">
        <f aca="false">IF($J$4="Mid",VLOOKUP($A192,Curve_Fetch,VLOOKUP(Control!$AJ$10,Control!$AI$11:$AK$22,3)),VLOOKUP($A192,Euro!$B$29:$M$182,12))</f>
        <v>#VALUE!</v>
      </c>
      <c r="K192" s="205" t="e">
        <f aca="false">IF(Control!$F$18="Physical",IF($K$4="Mid",VLOOKUP($A192,Curve_Fetch,VLOOKUP(Control!$AJ$10,Control!$AI$11:$AL$22,4)),VLOOKUP($A192,Euro!$B$29:$Q$182,16)),0)</f>
        <v>#VALUE!</v>
      </c>
      <c r="L192" s="204" t="e">
        <f aca="false">SUM(J192:K192)</f>
        <v>#VALUE!</v>
      </c>
      <c r="M192" s="204"/>
      <c r="N192" s="206" t="e">
        <f aca="false">L192+H192</f>
        <v>#VALUE!</v>
      </c>
      <c r="O192" s="206" t="e">
        <f aca="false">N192+Control!$C$39</f>
        <v>#VALUE!</v>
      </c>
      <c r="P192" s="207" t="e">
        <f aca="false">VLOOKUP($A192,CurveFetch!$D$8:$E$367,2)</f>
        <v>#VALUE!</v>
      </c>
      <c r="Q192" s="208" t="e">
        <f aca="false">P192</f>
        <v>#VALUE!</v>
      </c>
      <c r="R192" s="209" t="e">
        <f aca="true">A192-1-TODAY()</f>
        <v>#VALUE!</v>
      </c>
      <c r="S192" s="210" t="e">
        <f aca="false">VLOOKUP($A192,Curve_Fetch,VLOOKUP(Control!$AJ$10,Control!$AI$11:$AM$22,5))</f>
        <v>#VALUE!</v>
      </c>
      <c r="T192" s="211" t="e">
        <f aca="false">EURO(N192,O192,P192,Q192,S192,R192,IF(Control!$C$38="Call",1,0),0)</f>
        <v>#NAME?</v>
      </c>
      <c r="U192" s="174" t="e">
        <f aca="false">T192*B192*E192</f>
        <v>#VALUE!</v>
      </c>
      <c r="V192" s="212"/>
      <c r="W192" s="213"/>
      <c r="X192" s="213"/>
      <c r="Y192" s="213"/>
      <c r="AA192" s="214"/>
      <c r="AB192" s="214"/>
      <c r="AC192" s="215"/>
      <c r="AD192" s="216"/>
      <c r="AE192" s="217"/>
      <c r="AF192" s="218"/>
      <c r="AG192" s="219"/>
      <c r="AH192" s="220"/>
      <c r="AI192" s="174"/>
      <c r="AJ192" s="171" t="e">
        <f aca="false">Y192-L192</f>
        <v>#VALUE!</v>
      </c>
      <c r="AL192" s="208" t="e">
        <f aca="false">VLOOKUP($C192,Curve_Fetch,2)+Cost_of_Funds</f>
        <v>#VALUE!</v>
      </c>
      <c r="AM192" s="210" t="e">
        <f aca="false">1/(1+AL192/2)^(2*(C192-Val_Date)/365.25)</f>
        <v>#VALUE!</v>
      </c>
      <c r="AO192" s="222" t="e">
        <f aca="false">$B192*$E192*$AM192</f>
        <v>#VALUE!</v>
      </c>
      <c r="AP192" s="222"/>
      <c r="AQ192" s="222" t="e">
        <f aca="false">H192*AO192</f>
        <v>#VALUE!</v>
      </c>
      <c r="AR192" s="222"/>
      <c r="AS192" s="174" t="e">
        <f aca="false">J192*$AO192</f>
        <v>#VALUE!</v>
      </c>
      <c r="AT192" s="174" t="e">
        <f aca="false">K192*$AO192</f>
        <v>#VALUE!</v>
      </c>
      <c r="AU192" s="174" t="e">
        <f aca="false">L192*$AO192</f>
        <v>#VALUE!</v>
      </c>
      <c r="AV192" s="174"/>
      <c r="AW192" s="174"/>
      <c r="AY192" s="220"/>
      <c r="AZ192" s="220"/>
      <c r="BA192" s="223"/>
      <c r="BC192" s="220"/>
      <c r="BE192" s="206"/>
    </row>
    <row r="193" customFormat="false" ht="12.75" hidden="false" customHeight="false" outlineLevel="0" collapsed="false">
      <c r="A193" s="167" t="e">
        <f aca="false">([1]!edate,A192,1)</f>
        <v>#VALUE!</v>
      </c>
      <c r="B193" s="201" t="e">
        <f aca="false">A194-A193</f>
        <v>#VALUE!</v>
      </c>
      <c r="C193" s="202" t="e">
        <f aca="false">IF(Control!$F$18="Physical",Model!A194+24,Model!A194)</f>
        <v>#VALUE!</v>
      </c>
      <c r="E193" s="203" t="e">
        <f aca="false">IF($A193&lt;End_Date,IF(Control!$C$20="Flat",Control!$C$21,VLOOKUP(Model!$A193,Euro!$B$29:$D$182,3)),0)</f>
        <v>#VALUE!</v>
      </c>
      <c r="F193" s="203" t="e">
        <f aca="false">E193*B193</f>
        <v>#VALUE!</v>
      </c>
      <c r="H193" s="204" t="e">
        <f aca="false">IF(Control!$C$27="Mid",VLOOKUP($A193,CurveFetch!$D$8:$F$367,3),VLOOKUP($A193,Euro!$B$29:$I$182,8))</f>
        <v>#VALUE!</v>
      </c>
      <c r="I193" s="204"/>
      <c r="J193" s="204" t="e">
        <f aca="false">IF($J$4="Mid",VLOOKUP($A193,Curve_Fetch,VLOOKUP(Control!$AJ$10,Control!$AI$11:$AK$22,3)),VLOOKUP($A193,Euro!$B$29:$M$182,12))</f>
        <v>#VALUE!</v>
      </c>
      <c r="K193" s="205" t="e">
        <f aca="false">IF(Control!$F$18="Physical",IF($K$4="Mid",VLOOKUP($A193,Curve_Fetch,VLOOKUP(Control!$AJ$10,Control!$AI$11:$AL$22,4)),VLOOKUP($A193,Euro!$B$29:$Q$182,16)),0)</f>
        <v>#VALUE!</v>
      </c>
      <c r="L193" s="204" t="e">
        <f aca="false">SUM(J193:K193)</f>
        <v>#VALUE!</v>
      </c>
      <c r="M193" s="204"/>
      <c r="N193" s="206" t="e">
        <f aca="false">L193+H193</f>
        <v>#VALUE!</v>
      </c>
      <c r="O193" s="206" t="e">
        <f aca="false">N193+Control!$C$39</f>
        <v>#VALUE!</v>
      </c>
      <c r="P193" s="207" t="e">
        <f aca="false">VLOOKUP($A193,CurveFetch!$D$8:$E$367,2)</f>
        <v>#VALUE!</v>
      </c>
      <c r="Q193" s="208" t="e">
        <f aca="false">P193</f>
        <v>#VALUE!</v>
      </c>
      <c r="R193" s="209" t="e">
        <f aca="true">A193-1-TODAY()</f>
        <v>#VALUE!</v>
      </c>
      <c r="S193" s="210" t="e">
        <f aca="false">VLOOKUP($A193,Curve_Fetch,VLOOKUP(Control!$AJ$10,Control!$AI$11:$AM$22,5))</f>
        <v>#VALUE!</v>
      </c>
      <c r="T193" s="211" t="e">
        <f aca="false">EURO(N193,O193,P193,Q193,S193,R193,IF(Control!$C$38="Call",1,0),0)</f>
        <v>#NAME?</v>
      </c>
      <c r="U193" s="174" t="e">
        <f aca="false">T193*B193*E193</f>
        <v>#VALUE!</v>
      </c>
      <c r="V193" s="212"/>
      <c r="W193" s="213"/>
      <c r="X193" s="213"/>
      <c r="Y193" s="213"/>
      <c r="AA193" s="214"/>
      <c r="AB193" s="214"/>
      <c r="AC193" s="215"/>
      <c r="AD193" s="216"/>
      <c r="AE193" s="217"/>
      <c r="AF193" s="218"/>
      <c r="AG193" s="219"/>
      <c r="AH193" s="220"/>
      <c r="AI193" s="174"/>
      <c r="AJ193" s="171" t="e">
        <f aca="false">Y193-L193</f>
        <v>#VALUE!</v>
      </c>
      <c r="AL193" s="208" t="e">
        <f aca="false">VLOOKUP($C193,Curve_Fetch,2)+Cost_of_Funds</f>
        <v>#VALUE!</v>
      </c>
      <c r="AM193" s="210" t="e">
        <f aca="false">1/(1+AL193/2)^(2*(C193-Val_Date)/365.25)</f>
        <v>#VALUE!</v>
      </c>
      <c r="AO193" s="222" t="e">
        <f aca="false">$B193*$E193*$AM193</f>
        <v>#VALUE!</v>
      </c>
      <c r="AP193" s="222"/>
      <c r="AQ193" s="222" t="e">
        <f aca="false">H193*AO193</f>
        <v>#VALUE!</v>
      </c>
      <c r="AR193" s="222"/>
      <c r="AS193" s="174" t="e">
        <f aca="false">J193*$AO193</f>
        <v>#VALUE!</v>
      </c>
      <c r="AT193" s="174" t="e">
        <f aca="false">K193*$AO193</f>
        <v>#VALUE!</v>
      </c>
      <c r="AU193" s="174" t="e">
        <f aca="false">L193*$AO193</f>
        <v>#VALUE!</v>
      </c>
      <c r="AV193" s="174"/>
      <c r="AW193" s="174"/>
      <c r="AY193" s="220"/>
      <c r="AZ193" s="220"/>
      <c r="BA193" s="223"/>
      <c r="BC193" s="220"/>
      <c r="BE193" s="206"/>
    </row>
    <row r="194" customFormat="false" ht="12.75" hidden="false" customHeight="false" outlineLevel="0" collapsed="false">
      <c r="A194" s="167" t="e">
        <f aca="false">([1]!edate,A193,1)</f>
        <v>#VALUE!</v>
      </c>
      <c r="B194" s="201" t="e">
        <f aca="false">A195-A194</f>
        <v>#VALUE!</v>
      </c>
      <c r="C194" s="202" t="e">
        <f aca="false">IF(Control!$F$18="Physical",Model!A195+24,Model!A195)</f>
        <v>#VALUE!</v>
      </c>
      <c r="E194" s="203" t="e">
        <f aca="false">IF($A194&lt;End_Date,IF(Control!$C$20="Flat",Control!$C$21,VLOOKUP(Model!$A194,Euro!$B$29:$D$182,3)),0)</f>
        <v>#VALUE!</v>
      </c>
      <c r="F194" s="203" t="e">
        <f aca="false">E194*B194</f>
        <v>#VALUE!</v>
      </c>
      <c r="H194" s="204" t="e">
        <f aca="false">IF(Control!$C$27="Mid",VLOOKUP($A194,CurveFetch!$D$8:$F$367,3),VLOOKUP($A194,Euro!$B$29:$I$182,8))</f>
        <v>#VALUE!</v>
      </c>
      <c r="I194" s="204"/>
      <c r="J194" s="204" t="e">
        <f aca="false">IF($J$4="Mid",VLOOKUP($A194,Curve_Fetch,VLOOKUP(Control!$AJ$10,Control!$AI$11:$AK$22,3)),VLOOKUP($A194,Euro!$B$29:$M$182,12))</f>
        <v>#VALUE!</v>
      </c>
      <c r="K194" s="205" t="e">
        <f aca="false">IF(Control!$F$18="Physical",IF($K$4="Mid",VLOOKUP($A194,Curve_Fetch,VLOOKUP(Control!$AJ$10,Control!$AI$11:$AL$22,4)),VLOOKUP($A194,Euro!$B$29:$Q$182,16)),0)</f>
        <v>#VALUE!</v>
      </c>
      <c r="L194" s="204" t="e">
        <f aca="false">SUM(J194:K194)</f>
        <v>#VALUE!</v>
      </c>
      <c r="M194" s="204"/>
      <c r="N194" s="206" t="e">
        <f aca="false">L194+H194</f>
        <v>#VALUE!</v>
      </c>
      <c r="O194" s="206" t="e">
        <f aca="false">N194+Control!$C$39</f>
        <v>#VALUE!</v>
      </c>
      <c r="P194" s="207" t="e">
        <f aca="false">VLOOKUP($A194,CurveFetch!$D$8:$E$367,2)</f>
        <v>#VALUE!</v>
      </c>
      <c r="Q194" s="208" t="e">
        <f aca="false">P194</f>
        <v>#VALUE!</v>
      </c>
      <c r="R194" s="209" t="e">
        <f aca="true">A194-1-TODAY()</f>
        <v>#VALUE!</v>
      </c>
      <c r="S194" s="210" t="e">
        <f aca="false">VLOOKUP($A194,Curve_Fetch,VLOOKUP(Control!$AJ$10,Control!$AI$11:$AM$22,5))</f>
        <v>#VALUE!</v>
      </c>
      <c r="T194" s="211" t="e">
        <f aca="false">EURO(N194,O194,P194,Q194,S194,R194,IF(Control!$C$38="Call",1,0),0)</f>
        <v>#NAME?</v>
      </c>
      <c r="U194" s="174" t="e">
        <f aca="false">T194*B194*E194</f>
        <v>#VALUE!</v>
      </c>
      <c r="V194" s="212"/>
      <c r="W194" s="213"/>
      <c r="X194" s="213"/>
      <c r="Y194" s="213"/>
      <c r="AA194" s="214"/>
      <c r="AB194" s="214"/>
      <c r="AC194" s="215"/>
      <c r="AD194" s="216"/>
      <c r="AE194" s="217"/>
      <c r="AF194" s="218"/>
      <c r="AG194" s="219"/>
      <c r="AH194" s="220"/>
      <c r="AI194" s="174"/>
      <c r="AJ194" s="171" t="e">
        <f aca="false">Y194-L194</f>
        <v>#VALUE!</v>
      </c>
      <c r="AL194" s="208" t="e">
        <f aca="false">VLOOKUP($C194,Curve_Fetch,2)+Cost_of_Funds</f>
        <v>#VALUE!</v>
      </c>
      <c r="AM194" s="210" t="e">
        <f aca="false">1/(1+AL194/2)^(2*(C194-Val_Date)/365.25)</f>
        <v>#VALUE!</v>
      </c>
      <c r="AO194" s="222" t="e">
        <f aca="false">$B194*$E194*$AM194</f>
        <v>#VALUE!</v>
      </c>
      <c r="AP194" s="222"/>
      <c r="AQ194" s="222" t="e">
        <f aca="false">H194*AO194</f>
        <v>#VALUE!</v>
      </c>
      <c r="AR194" s="222"/>
      <c r="AS194" s="174" t="e">
        <f aca="false">J194*$AO194</f>
        <v>#VALUE!</v>
      </c>
      <c r="AT194" s="174" t="e">
        <f aca="false">K194*$AO194</f>
        <v>#VALUE!</v>
      </c>
      <c r="AU194" s="174" t="e">
        <f aca="false">L194*$AO194</f>
        <v>#VALUE!</v>
      </c>
      <c r="AV194" s="174"/>
      <c r="AW194" s="174"/>
      <c r="AY194" s="220"/>
      <c r="AZ194" s="220"/>
      <c r="BA194" s="223"/>
      <c r="BC194" s="220"/>
      <c r="BE194" s="206"/>
    </row>
    <row r="195" customFormat="false" ht="12.75" hidden="false" customHeight="false" outlineLevel="0" collapsed="false">
      <c r="A195" s="167" t="e">
        <f aca="false">([1]!edate,A194,1)</f>
        <v>#VALUE!</v>
      </c>
      <c r="B195" s="201" t="e">
        <f aca="false">A196-A195</f>
        <v>#VALUE!</v>
      </c>
      <c r="C195" s="202" t="e">
        <f aca="false">IF(Control!$F$18="Physical",Model!A196+24,Model!A196)</f>
        <v>#VALUE!</v>
      </c>
      <c r="E195" s="203" t="e">
        <f aca="false">IF($A195&lt;End_Date,IF(Control!$C$20="Flat",Control!$C$21,VLOOKUP(Model!$A195,Euro!$B$29:$D$182,3)),0)</f>
        <v>#VALUE!</v>
      </c>
      <c r="F195" s="203" t="e">
        <f aca="false">E195*B195</f>
        <v>#VALUE!</v>
      </c>
      <c r="H195" s="204" t="e">
        <f aca="false">IF(Control!$C$27="Mid",VLOOKUP($A195,CurveFetch!$D$8:$F$367,3),VLOOKUP($A195,Euro!$B$29:$I$182,8))</f>
        <v>#VALUE!</v>
      </c>
      <c r="I195" s="204"/>
      <c r="J195" s="204" t="e">
        <f aca="false">IF($J$4="Mid",VLOOKUP($A195,Curve_Fetch,VLOOKUP(Control!$AJ$10,Control!$AI$11:$AK$22,3)),VLOOKUP($A195,Euro!$B$29:$M$182,12))</f>
        <v>#VALUE!</v>
      </c>
      <c r="K195" s="205" t="e">
        <f aca="false">IF(Control!$F$18="Physical",IF($K$4="Mid",VLOOKUP($A195,Curve_Fetch,VLOOKUP(Control!$AJ$10,Control!$AI$11:$AL$22,4)),VLOOKUP($A195,Euro!$B$29:$Q$182,16)),0)</f>
        <v>#VALUE!</v>
      </c>
      <c r="L195" s="204" t="e">
        <f aca="false">SUM(J195:K195)</f>
        <v>#VALUE!</v>
      </c>
      <c r="M195" s="204"/>
      <c r="N195" s="206" t="e">
        <f aca="false">L195+H195</f>
        <v>#VALUE!</v>
      </c>
      <c r="O195" s="206" t="e">
        <f aca="false">N195+Control!$C$39</f>
        <v>#VALUE!</v>
      </c>
      <c r="P195" s="207" t="e">
        <f aca="false">VLOOKUP($A195,CurveFetch!$D$8:$E$367,2)</f>
        <v>#VALUE!</v>
      </c>
      <c r="Q195" s="208" t="e">
        <f aca="false">P195</f>
        <v>#VALUE!</v>
      </c>
      <c r="R195" s="209" t="e">
        <f aca="true">A195-1-TODAY()</f>
        <v>#VALUE!</v>
      </c>
      <c r="S195" s="210" t="e">
        <f aca="false">VLOOKUP($A195,Curve_Fetch,VLOOKUP(Control!$AJ$10,Control!$AI$11:$AM$22,5))</f>
        <v>#VALUE!</v>
      </c>
      <c r="T195" s="211" t="e">
        <f aca="false">EURO(N195,O195,P195,Q195,S195,R195,IF(Control!$C$38="Call",1,0),0)</f>
        <v>#NAME?</v>
      </c>
      <c r="U195" s="174" t="e">
        <f aca="false">T195*B195*E195</f>
        <v>#VALUE!</v>
      </c>
      <c r="V195" s="212"/>
      <c r="W195" s="213"/>
      <c r="X195" s="213"/>
      <c r="Y195" s="213"/>
      <c r="AA195" s="214"/>
      <c r="AB195" s="214"/>
      <c r="AC195" s="215"/>
      <c r="AD195" s="216"/>
      <c r="AE195" s="217"/>
      <c r="AF195" s="218"/>
      <c r="AG195" s="219"/>
      <c r="AH195" s="220"/>
      <c r="AI195" s="174"/>
      <c r="AJ195" s="171" t="e">
        <f aca="false">Y195-L195</f>
        <v>#VALUE!</v>
      </c>
      <c r="AL195" s="208" t="e">
        <f aca="false">VLOOKUP($C195,Curve_Fetch,2)+Cost_of_Funds</f>
        <v>#VALUE!</v>
      </c>
      <c r="AM195" s="210" t="e">
        <f aca="false">1/(1+AL195/2)^(2*(C195-Val_Date)/365.25)</f>
        <v>#VALUE!</v>
      </c>
      <c r="AO195" s="222" t="e">
        <f aca="false">$B195*$E195*$AM195</f>
        <v>#VALUE!</v>
      </c>
      <c r="AP195" s="222"/>
      <c r="AQ195" s="222" t="e">
        <f aca="false">H195*AO195</f>
        <v>#VALUE!</v>
      </c>
      <c r="AR195" s="222"/>
      <c r="AS195" s="174" t="e">
        <f aca="false">J195*$AO195</f>
        <v>#VALUE!</v>
      </c>
      <c r="AT195" s="174" t="e">
        <f aca="false">K195*$AO195</f>
        <v>#VALUE!</v>
      </c>
      <c r="AU195" s="174" t="e">
        <f aca="false">L195*$AO195</f>
        <v>#VALUE!</v>
      </c>
      <c r="AV195" s="174"/>
      <c r="AW195" s="174"/>
      <c r="AY195" s="220"/>
      <c r="AZ195" s="220"/>
      <c r="BA195" s="223"/>
      <c r="BC195" s="220"/>
      <c r="BE195" s="206"/>
    </row>
    <row r="196" customFormat="false" ht="12.75" hidden="false" customHeight="false" outlineLevel="0" collapsed="false">
      <c r="A196" s="167" t="e">
        <f aca="false">([1]!edate,A195,1)</f>
        <v>#VALUE!</v>
      </c>
      <c r="B196" s="201" t="e">
        <f aca="false">A197-A196</f>
        <v>#VALUE!</v>
      </c>
      <c r="C196" s="202" t="e">
        <f aca="false">IF(Control!$F$18="Physical",Model!A197+24,Model!A197)</f>
        <v>#VALUE!</v>
      </c>
      <c r="E196" s="203" t="e">
        <f aca="false">IF($A196&lt;End_Date,IF(Control!$C$20="Flat",Control!$C$21,VLOOKUP(Model!$A196,Euro!$B$29:$D$182,3)),0)</f>
        <v>#VALUE!</v>
      </c>
      <c r="F196" s="203" t="e">
        <f aca="false">E196*B196</f>
        <v>#VALUE!</v>
      </c>
      <c r="H196" s="204" t="e">
        <f aca="false">IF(Control!$C$27="Mid",VLOOKUP($A196,CurveFetch!$D$8:$F$367,3),VLOOKUP($A196,Euro!$B$29:$I$182,8))</f>
        <v>#VALUE!</v>
      </c>
      <c r="I196" s="204"/>
      <c r="J196" s="204" t="e">
        <f aca="false">IF($J$4="Mid",VLOOKUP($A196,Curve_Fetch,VLOOKUP(Control!$AJ$10,Control!$AI$11:$AK$22,3)),VLOOKUP($A196,Euro!$B$29:$M$182,12))</f>
        <v>#VALUE!</v>
      </c>
      <c r="K196" s="205" t="e">
        <f aca="false">IF(Control!$F$18="Physical",IF($K$4="Mid",VLOOKUP($A196,Curve_Fetch,VLOOKUP(Control!$AJ$10,Control!$AI$11:$AL$22,4)),VLOOKUP($A196,Euro!$B$29:$Q$182,16)),0)</f>
        <v>#VALUE!</v>
      </c>
      <c r="L196" s="204" t="e">
        <f aca="false">SUM(J196:K196)</f>
        <v>#VALUE!</v>
      </c>
      <c r="M196" s="204"/>
      <c r="N196" s="206" t="e">
        <f aca="false">L196+H196</f>
        <v>#VALUE!</v>
      </c>
      <c r="O196" s="206" t="e">
        <f aca="false">N196+Control!$C$39</f>
        <v>#VALUE!</v>
      </c>
      <c r="P196" s="207" t="e">
        <f aca="false">VLOOKUP($A196,CurveFetch!$D$8:$E$367,2)</f>
        <v>#VALUE!</v>
      </c>
      <c r="Q196" s="208" t="e">
        <f aca="false">P196</f>
        <v>#VALUE!</v>
      </c>
      <c r="R196" s="209" t="e">
        <f aca="true">A196-1-TODAY()</f>
        <v>#VALUE!</v>
      </c>
      <c r="S196" s="210" t="e">
        <f aca="false">VLOOKUP($A196,Curve_Fetch,VLOOKUP(Control!$AJ$10,Control!$AI$11:$AM$22,5))</f>
        <v>#VALUE!</v>
      </c>
      <c r="T196" s="211" t="e">
        <f aca="false">EURO(N196,O196,P196,Q196,S196,R196,IF(Control!$C$38="Call",1,0),0)</f>
        <v>#NAME?</v>
      </c>
      <c r="U196" s="174" t="e">
        <f aca="false">T196*B196*E196</f>
        <v>#VALUE!</v>
      </c>
      <c r="V196" s="212"/>
      <c r="W196" s="213"/>
      <c r="X196" s="213"/>
      <c r="Y196" s="213"/>
      <c r="AA196" s="214"/>
      <c r="AB196" s="214"/>
      <c r="AC196" s="215"/>
      <c r="AD196" s="216"/>
      <c r="AE196" s="217"/>
      <c r="AF196" s="218"/>
      <c r="AG196" s="219"/>
      <c r="AH196" s="220"/>
      <c r="AI196" s="174"/>
      <c r="AJ196" s="171" t="e">
        <f aca="false">Y196-L196</f>
        <v>#VALUE!</v>
      </c>
      <c r="AL196" s="208" t="e">
        <f aca="false">VLOOKUP($C196,Curve_Fetch,2)+Cost_of_Funds</f>
        <v>#VALUE!</v>
      </c>
      <c r="AM196" s="210" t="e">
        <f aca="false">1/(1+AL196/2)^(2*(C196-Val_Date)/365.25)</f>
        <v>#VALUE!</v>
      </c>
      <c r="AO196" s="222" t="e">
        <f aca="false">$B196*$E196*$AM196</f>
        <v>#VALUE!</v>
      </c>
      <c r="AP196" s="222"/>
      <c r="AQ196" s="222" t="e">
        <f aca="false">H196*AO196</f>
        <v>#VALUE!</v>
      </c>
      <c r="AR196" s="222"/>
      <c r="AS196" s="174" t="e">
        <f aca="false">J196*$AO196</f>
        <v>#VALUE!</v>
      </c>
      <c r="AT196" s="174" t="e">
        <f aca="false">K196*$AO196</f>
        <v>#VALUE!</v>
      </c>
      <c r="AU196" s="174" t="e">
        <f aca="false">L196*$AO196</f>
        <v>#VALUE!</v>
      </c>
      <c r="AV196" s="174"/>
      <c r="AW196" s="174"/>
      <c r="AY196" s="220"/>
      <c r="AZ196" s="220"/>
      <c r="BA196" s="223"/>
      <c r="BC196" s="220"/>
      <c r="BE196" s="206"/>
    </row>
    <row r="197" customFormat="false" ht="12.75" hidden="false" customHeight="false" outlineLevel="0" collapsed="false">
      <c r="A197" s="167" t="e">
        <f aca="false">([1]!edate,A196,1)</f>
        <v>#VALUE!</v>
      </c>
      <c r="B197" s="201" t="e">
        <f aca="false">A198-A197</f>
        <v>#VALUE!</v>
      </c>
      <c r="C197" s="202" t="e">
        <f aca="false">IF(Control!$F$18="Physical",Model!A198+24,Model!A198)</f>
        <v>#VALUE!</v>
      </c>
      <c r="E197" s="203" t="e">
        <f aca="false">IF($A197&lt;End_Date,IF(Control!$C$20="Flat",Control!$C$21,VLOOKUP(Model!$A197,Euro!$B$29:$D$182,3)),0)</f>
        <v>#VALUE!</v>
      </c>
      <c r="F197" s="203" t="e">
        <f aca="false">E197*B197</f>
        <v>#VALUE!</v>
      </c>
      <c r="H197" s="204" t="e">
        <f aca="false">IF(Control!$C$27="Mid",VLOOKUP($A197,CurveFetch!$D$8:$F$367,3),VLOOKUP($A197,Euro!$B$29:$I$182,8))</f>
        <v>#VALUE!</v>
      </c>
      <c r="I197" s="204"/>
      <c r="J197" s="204" t="e">
        <f aca="false">IF($J$4="Mid",VLOOKUP($A197,Curve_Fetch,VLOOKUP(Control!$AJ$10,Control!$AI$11:$AK$22,3)),VLOOKUP($A197,Euro!$B$29:$M$182,12))</f>
        <v>#VALUE!</v>
      </c>
      <c r="K197" s="205" t="e">
        <f aca="false">IF(Control!$F$18="Physical",IF($K$4="Mid",VLOOKUP($A197,Curve_Fetch,VLOOKUP(Control!$AJ$10,Control!$AI$11:$AL$22,4)),VLOOKUP($A197,Euro!$B$29:$Q$182,16)),0)</f>
        <v>#VALUE!</v>
      </c>
      <c r="L197" s="204" t="e">
        <f aca="false">SUM(J197:K197)</f>
        <v>#VALUE!</v>
      </c>
      <c r="M197" s="204"/>
      <c r="N197" s="206" t="e">
        <f aca="false">L197+H197</f>
        <v>#VALUE!</v>
      </c>
      <c r="O197" s="206" t="e">
        <f aca="false">N197+Control!$C$39</f>
        <v>#VALUE!</v>
      </c>
      <c r="P197" s="207" t="e">
        <f aca="false">VLOOKUP($A197,CurveFetch!$D$8:$E$367,2)</f>
        <v>#VALUE!</v>
      </c>
      <c r="Q197" s="208" t="e">
        <f aca="false">P197</f>
        <v>#VALUE!</v>
      </c>
      <c r="R197" s="209" t="e">
        <f aca="true">A197-1-TODAY()</f>
        <v>#VALUE!</v>
      </c>
      <c r="S197" s="210" t="e">
        <f aca="false">VLOOKUP($A197,Curve_Fetch,VLOOKUP(Control!$AJ$10,Control!$AI$11:$AM$22,5))</f>
        <v>#VALUE!</v>
      </c>
      <c r="T197" s="211" t="e">
        <f aca="false">EURO(N197,O197,P197,Q197,S197,R197,IF(Control!$C$38="Call",1,0),0)</f>
        <v>#NAME?</v>
      </c>
      <c r="U197" s="174" t="e">
        <f aca="false">T197*B197*E197</f>
        <v>#VALUE!</v>
      </c>
      <c r="V197" s="212"/>
      <c r="W197" s="213"/>
      <c r="X197" s="213"/>
      <c r="Y197" s="213"/>
      <c r="AA197" s="214"/>
      <c r="AB197" s="214"/>
      <c r="AC197" s="215"/>
      <c r="AD197" s="216"/>
      <c r="AE197" s="217"/>
      <c r="AF197" s="218"/>
      <c r="AG197" s="219"/>
      <c r="AH197" s="220"/>
      <c r="AI197" s="174"/>
      <c r="AJ197" s="171" t="e">
        <f aca="false">Y197-L197</f>
        <v>#VALUE!</v>
      </c>
      <c r="AL197" s="208" t="e">
        <f aca="false">VLOOKUP($C197,Curve_Fetch,2)+Cost_of_Funds</f>
        <v>#VALUE!</v>
      </c>
      <c r="AM197" s="210" t="e">
        <f aca="false">1/(1+AL197/2)^(2*(C197-Val_Date)/365.25)</f>
        <v>#VALUE!</v>
      </c>
      <c r="AO197" s="222" t="e">
        <f aca="false">$B197*$E197*$AM197</f>
        <v>#VALUE!</v>
      </c>
      <c r="AP197" s="222"/>
      <c r="AQ197" s="222" t="e">
        <f aca="false">H197*AO197</f>
        <v>#VALUE!</v>
      </c>
      <c r="AR197" s="222"/>
      <c r="AS197" s="174" t="e">
        <f aca="false">J197*$AO197</f>
        <v>#VALUE!</v>
      </c>
      <c r="AT197" s="174" t="e">
        <f aca="false">K197*$AO197</f>
        <v>#VALUE!</v>
      </c>
      <c r="AU197" s="174" t="e">
        <f aca="false">L197*$AO197</f>
        <v>#VALUE!</v>
      </c>
      <c r="AV197" s="174"/>
      <c r="AW197" s="174"/>
      <c r="AY197" s="220"/>
      <c r="AZ197" s="220"/>
      <c r="BA197" s="223"/>
      <c r="BC197" s="220"/>
      <c r="BE197" s="206"/>
    </row>
    <row r="198" customFormat="false" ht="12.75" hidden="false" customHeight="false" outlineLevel="0" collapsed="false">
      <c r="A198" s="167" t="e">
        <f aca="false">([1]!edate,A197,1)</f>
        <v>#VALUE!</v>
      </c>
      <c r="B198" s="201" t="e">
        <f aca="false">A199-A198</f>
        <v>#VALUE!</v>
      </c>
      <c r="C198" s="202" t="e">
        <f aca="false">IF(Control!$F$18="Physical",Model!A199+24,Model!A199)</f>
        <v>#VALUE!</v>
      </c>
      <c r="E198" s="203" t="e">
        <f aca="false">IF($A198&lt;End_Date,IF(Control!$C$20="Flat",Control!$C$21,VLOOKUP(Model!$A198,Euro!$B$29:$D$182,3)),0)</f>
        <v>#VALUE!</v>
      </c>
      <c r="F198" s="203" t="e">
        <f aca="false">E198*B198</f>
        <v>#VALUE!</v>
      </c>
      <c r="H198" s="204" t="e">
        <f aca="false">IF(Control!$C$27="Mid",VLOOKUP($A198,CurveFetch!$D$8:$F$367,3),VLOOKUP($A198,Euro!$B$29:$I$182,8))</f>
        <v>#VALUE!</v>
      </c>
      <c r="I198" s="204"/>
      <c r="J198" s="204" t="e">
        <f aca="false">IF($J$4="Mid",VLOOKUP($A198,Curve_Fetch,VLOOKUP(Control!$AJ$10,Control!$AI$11:$AK$22,3)),VLOOKUP($A198,Euro!$B$29:$M$182,12))</f>
        <v>#VALUE!</v>
      </c>
      <c r="K198" s="205" t="e">
        <f aca="false">IF(Control!$F$18="Physical",IF($K$4="Mid",VLOOKUP($A198,Curve_Fetch,VLOOKUP(Control!$AJ$10,Control!$AI$11:$AL$22,4)),VLOOKUP($A198,Euro!$B$29:$Q$182,16)),0)</f>
        <v>#VALUE!</v>
      </c>
      <c r="L198" s="204" t="e">
        <f aca="false">SUM(J198:K198)</f>
        <v>#VALUE!</v>
      </c>
      <c r="M198" s="204"/>
      <c r="N198" s="206" t="e">
        <f aca="false">L198+H198</f>
        <v>#VALUE!</v>
      </c>
      <c r="O198" s="206" t="e">
        <f aca="false">N198+Control!$C$39</f>
        <v>#VALUE!</v>
      </c>
      <c r="P198" s="207" t="e">
        <f aca="false">VLOOKUP($A198,CurveFetch!$D$8:$E$367,2)</f>
        <v>#VALUE!</v>
      </c>
      <c r="Q198" s="208" t="e">
        <f aca="false">P198</f>
        <v>#VALUE!</v>
      </c>
      <c r="R198" s="209" t="e">
        <f aca="true">A198-1-TODAY()</f>
        <v>#VALUE!</v>
      </c>
      <c r="S198" s="210" t="e">
        <f aca="false">VLOOKUP($A198,Curve_Fetch,VLOOKUP(Control!$AJ$10,Control!$AI$11:$AM$22,5))</f>
        <v>#VALUE!</v>
      </c>
      <c r="T198" s="211" t="e">
        <f aca="false">EURO(N198,O198,P198,Q198,S198,R198,IF(Control!$C$38="Call",1,0),0)</f>
        <v>#NAME?</v>
      </c>
      <c r="U198" s="174" t="e">
        <f aca="false">T198*B198*E198</f>
        <v>#VALUE!</v>
      </c>
      <c r="V198" s="212"/>
      <c r="W198" s="213"/>
      <c r="X198" s="213"/>
      <c r="Y198" s="213"/>
      <c r="AA198" s="214"/>
      <c r="AB198" s="214"/>
      <c r="AC198" s="215"/>
      <c r="AD198" s="216"/>
      <c r="AE198" s="217"/>
      <c r="AF198" s="218"/>
      <c r="AG198" s="219"/>
      <c r="AH198" s="220"/>
      <c r="AI198" s="174"/>
      <c r="AJ198" s="171" t="e">
        <f aca="false">Y198-L198</f>
        <v>#VALUE!</v>
      </c>
      <c r="AL198" s="208" t="e">
        <f aca="false">VLOOKUP($C198,Curve_Fetch,2)+Cost_of_Funds</f>
        <v>#VALUE!</v>
      </c>
      <c r="AM198" s="210" t="e">
        <f aca="false">1/(1+AL198/2)^(2*(C198-Val_Date)/365.25)</f>
        <v>#VALUE!</v>
      </c>
      <c r="AO198" s="222" t="e">
        <f aca="false">$B198*$E198*$AM198</f>
        <v>#VALUE!</v>
      </c>
      <c r="AP198" s="222"/>
      <c r="AQ198" s="222" t="e">
        <f aca="false">H198*AO198</f>
        <v>#VALUE!</v>
      </c>
      <c r="AR198" s="222"/>
      <c r="AS198" s="174" t="e">
        <f aca="false">J198*$AO198</f>
        <v>#VALUE!</v>
      </c>
      <c r="AT198" s="174" t="e">
        <f aca="false">K198*$AO198</f>
        <v>#VALUE!</v>
      </c>
      <c r="AU198" s="174" t="e">
        <f aca="false">L198*$AO198</f>
        <v>#VALUE!</v>
      </c>
      <c r="AV198" s="174"/>
      <c r="AW198" s="174"/>
      <c r="AY198" s="220"/>
      <c r="AZ198" s="220"/>
      <c r="BA198" s="223"/>
      <c r="BC198" s="220"/>
      <c r="BE198" s="206"/>
    </row>
    <row r="199" customFormat="false" ht="12.75" hidden="false" customHeight="false" outlineLevel="0" collapsed="false">
      <c r="A199" s="167" t="e">
        <f aca="false">([1]!edate,A198,1)</f>
        <v>#VALUE!</v>
      </c>
      <c r="B199" s="201" t="e">
        <f aca="false">A200-A199</f>
        <v>#VALUE!</v>
      </c>
      <c r="C199" s="202" t="e">
        <f aca="false">IF(Control!$F$18="Physical",Model!A200+24,Model!A200)</f>
        <v>#VALUE!</v>
      </c>
      <c r="E199" s="203" t="e">
        <f aca="false">IF($A199&lt;End_Date,IF(Control!$C$20="Flat",Control!$C$21,VLOOKUP(Model!$A199,Euro!$B$29:$D$182,3)),0)</f>
        <v>#VALUE!</v>
      </c>
      <c r="F199" s="203" t="e">
        <f aca="false">E199*B199</f>
        <v>#VALUE!</v>
      </c>
      <c r="H199" s="204" t="e">
        <f aca="false">IF(Control!$C$27="Mid",VLOOKUP($A199,CurveFetch!$D$8:$F$367,3),VLOOKUP($A199,Euro!$B$29:$I$182,8))</f>
        <v>#VALUE!</v>
      </c>
      <c r="I199" s="204"/>
      <c r="J199" s="204" t="e">
        <f aca="false">IF($J$4="Mid",VLOOKUP($A199,Curve_Fetch,VLOOKUP(Control!$AJ$10,Control!$AI$11:$AK$22,3)),VLOOKUP($A199,Euro!$B$29:$M$182,12))</f>
        <v>#VALUE!</v>
      </c>
      <c r="K199" s="205" t="e">
        <f aca="false">IF(Control!$F$18="Physical",IF($K$4="Mid",VLOOKUP($A199,Curve_Fetch,VLOOKUP(Control!$AJ$10,Control!$AI$11:$AL$22,4)),VLOOKUP($A199,Euro!$B$29:$Q$182,16)),0)</f>
        <v>#VALUE!</v>
      </c>
      <c r="L199" s="204" t="e">
        <f aca="false">SUM(J199:K199)</f>
        <v>#VALUE!</v>
      </c>
      <c r="M199" s="204"/>
      <c r="N199" s="206" t="e">
        <f aca="false">L199+H199</f>
        <v>#VALUE!</v>
      </c>
      <c r="O199" s="206" t="e">
        <f aca="false">N199+Control!$C$39</f>
        <v>#VALUE!</v>
      </c>
      <c r="P199" s="207" t="e">
        <f aca="false">VLOOKUP($A199,CurveFetch!$D$8:$E$367,2)</f>
        <v>#VALUE!</v>
      </c>
      <c r="Q199" s="208" t="e">
        <f aca="false">P199</f>
        <v>#VALUE!</v>
      </c>
      <c r="R199" s="209" t="e">
        <f aca="true">A199-1-TODAY()</f>
        <v>#VALUE!</v>
      </c>
      <c r="S199" s="210" t="e">
        <f aca="false">VLOOKUP($A199,Curve_Fetch,VLOOKUP(Control!$AJ$10,Control!$AI$11:$AM$22,5))</f>
        <v>#VALUE!</v>
      </c>
      <c r="T199" s="211" t="e">
        <f aca="false">EURO(N199,O199,P199,Q199,S199,R199,IF(Control!$C$38="Call",1,0),0)</f>
        <v>#NAME?</v>
      </c>
      <c r="U199" s="174" t="e">
        <f aca="false">T199*B199*E199</f>
        <v>#VALUE!</v>
      </c>
      <c r="V199" s="212"/>
      <c r="W199" s="213"/>
      <c r="X199" s="213"/>
      <c r="Y199" s="213"/>
      <c r="AA199" s="214"/>
      <c r="AB199" s="214"/>
      <c r="AC199" s="215"/>
      <c r="AD199" s="216"/>
      <c r="AE199" s="217"/>
      <c r="AF199" s="218"/>
      <c r="AG199" s="219"/>
      <c r="AH199" s="220"/>
      <c r="AI199" s="174"/>
      <c r="AJ199" s="171" t="e">
        <f aca="false">Y199-L199</f>
        <v>#VALUE!</v>
      </c>
      <c r="AL199" s="208" t="e">
        <f aca="false">VLOOKUP($C199,Curve_Fetch,2)+Cost_of_Funds</f>
        <v>#VALUE!</v>
      </c>
      <c r="AM199" s="210" t="e">
        <f aca="false">1/(1+AL199/2)^(2*(C199-Val_Date)/365.25)</f>
        <v>#VALUE!</v>
      </c>
      <c r="AO199" s="222" t="e">
        <f aca="false">$B199*$E199*$AM199</f>
        <v>#VALUE!</v>
      </c>
      <c r="AP199" s="222"/>
      <c r="AQ199" s="222" t="e">
        <f aca="false">H199*AO199</f>
        <v>#VALUE!</v>
      </c>
      <c r="AR199" s="222"/>
      <c r="AS199" s="174" t="e">
        <f aca="false">J199*$AO199</f>
        <v>#VALUE!</v>
      </c>
      <c r="AT199" s="174" t="e">
        <f aca="false">K199*$AO199</f>
        <v>#VALUE!</v>
      </c>
      <c r="AU199" s="174" t="e">
        <f aca="false">L199*$AO199</f>
        <v>#VALUE!</v>
      </c>
      <c r="AV199" s="174"/>
      <c r="AW199" s="174"/>
      <c r="AY199" s="220"/>
      <c r="AZ199" s="220"/>
      <c r="BA199" s="223"/>
      <c r="BC199" s="220"/>
      <c r="BE199" s="206"/>
    </row>
    <row r="200" customFormat="false" ht="12.75" hidden="false" customHeight="false" outlineLevel="0" collapsed="false">
      <c r="A200" s="167" t="e">
        <f aca="false">([1]!edate,A199,1)</f>
        <v>#VALUE!</v>
      </c>
      <c r="B200" s="201" t="e">
        <f aca="false">A201-A200</f>
        <v>#VALUE!</v>
      </c>
      <c r="C200" s="202" t="e">
        <f aca="false">IF(Control!$F$18="Physical",Model!A201+24,Model!A201)</f>
        <v>#VALUE!</v>
      </c>
      <c r="E200" s="203" t="e">
        <f aca="false">IF($A200&lt;End_Date,IF(Control!$C$20="Flat",Control!$C$21,VLOOKUP(Model!$A200,Euro!$B$29:$D$182,3)),0)</f>
        <v>#VALUE!</v>
      </c>
      <c r="F200" s="203" t="e">
        <f aca="false">E200*B200</f>
        <v>#VALUE!</v>
      </c>
      <c r="H200" s="204" t="e">
        <f aca="false">IF(Control!$C$27="Mid",VLOOKUP($A200,CurveFetch!$D$8:$F$367,3),VLOOKUP($A200,Euro!$B$29:$I$182,8))</f>
        <v>#VALUE!</v>
      </c>
      <c r="I200" s="204"/>
      <c r="J200" s="204" t="e">
        <f aca="false">IF($J$4="Mid",VLOOKUP($A200,Curve_Fetch,VLOOKUP(Control!$AJ$10,Control!$AI$11:$AK$22,3)),VLOOKUP($A200,Euro!$B$29:$M$182,12))</f>
        <v>#VALUE!</v>
      </c>
      <c r="K200" s="205" t="e">
        <f aca="false">IF(Control!$F$18="Physical",IF($K$4="Mid",VLOOKUP($A200,Curve_Fetch,VLOOKUP(Control!$AJ$10,Control!$AI$11:$AL$22,4)),VLOOKUP($A200,Euro!$B$29:$Q$182,16)),0)</f>
        <v>#VALUE!</v>
      </c>
      <c r="L200" s="204" t="e">
        <f aca="false">SUM(J200:K200)</f>
        <v>#VALUE!</v>
      </c>
      <c r="M200" s="204"/>
      <c r="N200" s="206" t="e">
        <f aca="false">L200+H200</f>
        <v>#VALUE!</v>
      </c>
      <c r="O200" s="206" t="e">
        <f aca="false">N200+Control!$C$39</f>
        <v>#VALUE!</v>
      </c>
      <c r="P200" s="207" t="e">
        <f aca="false">VLOOKUP($A200,CurveFetch!$D$8:$E$367,2)</f>
        <v>#VALUE!</v>
      </c>
      <c r="Q200" s="208" t="e">
        <f aca="false">P200</f>
        <v>#VALUE!</v>
      </c>
      <c r="R200" s="209" t="e">
        <f aca="true">A200-1-TODAY()</f>
        <v>#VALUE!</v>
      </c>
      <c r="S200" s="210" t="e">
        <f aca="false">VLOOKUP($A200,Curve_Fetch,VLOOKUP(Control!$AJ$10,Control!$AI$11:$AM$22,5))</f>
        <v>#VALUE!</v>
      </c>
      <c r="T200" s="211" t="e">
        <f aca="false">EURO(N200,O200,P200,Q200,S200,R200,IF(Control!$C$38="Call",1,0),0)</f>
        <v>#NAME?</v>
      </c>
      <c r="U200" s="174" t="e">
        <f aca="false">T200*B200*E200</f>
        <v>#VALUE!</v>
      </c>
      <c r="V200" s="212"/>
      <c r="W200" s="213"/>
      <c r="X200" s="213"/>
      <c r="Y200" s="213"/>
      <c r="AA200" s="214"/>
      <c r="AB200" s="214"/>
      <c r="AC200" s="215"/>
      <c r="AD200" s="216"/>
      <c r="AE200" s="217"/>
      <c r="AF200" s="218"/>
      <c r="AG200" s="219"/>
      <c r="AH200" s="220"/>
      <c r="AI200" s="174"/>
      <c r="AJ200" s="171" t="e">
        <f aca="false">Y200-L200</f>
        <v>#VALUE!</v>
      </c>
      <c r="AL200" s="208" t="e">
        <f aca="false">VLOOKUP($C200,Curve_Fetch,2)+Cost_of_Funds</f>
        <v>#VALUE!</v>
      </c>
      <c r="AM200" s="210" t="e">
        <f aca="false">1/(1+AL200/2)^(2*(C200-Val_Date)/365.25)</f>
        <v>#VALUE!</v>
      </c>
      <c r="AO200" s="222" t="e">
        <f aca="false">$B200*$E200*$AM200</f>
        <v>#VALUE!</v>
      </c>
      <c r="AP200" s="222"/>
      <c r="AQ200" s="222" t="e">
        <f aca="false">H200*AO200</f>
        <v>#VALUE!</v>
      </c>
      <c r="AR200" s="222"/>
      <c r="AS200" s="174" t="e">
        <f aca="false">J200*$AO200</f>
        <v>#VALUE!</v>
      </c>
      <c r="AT200" s="174" t="e">
        <f aca="false">K200*$AO200</f>
        <v>#VALUE!</v>
      </c>
      <c r="AU200" s="174" t="e">
        <f aca="false">L200*$AO200</f>
        <v>#VALUE!</v>
      </c>
      <c r="AV200" s="174"/>
      <c r="AW200" s="174"/>
      <c r="AY200" s="220"/>
      <c r="AZ200" s="220"/>
      <c r="BA200" s="223"/>
      <c r="BC200" s="220"/>
      <c r="BE200" s="206"/>
    </row>
    <row r="201" customFormat="false" ht="12.75" hidden="false" customHeight="false" outlineLevel="0" collapsed="false">
      <c r="A201" s="167" t="e">
        <f aca="false">([1]!edate,A200,1)</f>
        <v>#VALUE!</v>
      </c>
      <c r="B201" s="201" t="e">
        <f aca="false">A202-A201</f>
        <v>#VALUE!</v>
      </c>
      <c r="C201" s="202" t="e">
        <f aca="false">IF(Control!$F$18="Physical",Model!A202+24,Model!A202)</f>
        <v>#VALUE!</v>
      </c>
      <c r="E201" s="203" t="e">
        <f aca="false">IF($A201&lt;End_Date,IF(Control!$C$20="Flat",Control!$C$21,VLOOKUP(Model!$A201,Euro!$B$29:$D$182,3)),0)</f>
        <v>#VALUE!</v>
      </c>
      <c r="F201" s="203" t="e">
        <f aca="false">E201*B201</f>
        <v>#VALUE!</v>
      </c>
      <c r="H201" s="204" t="e">
        <f aca="false">IF(Control!$C$27="Mid",VLOOKUP($A201,CurveFetch!$D$8:$F$367,3),VLOOKUP($A201,Euro!$B$29:$I$182,8))</f>
        <v>#VALUE!</v>
      </c>
      <c r="I201" s="204"/>
      <c r="J201" s="204" t="e">
        <f aca="false">IF($J$4="Mid",VLOOKUP($A201,Curve_Fetch,VLOOKUP(Control!$AJ$10,Control!$AI$11:$AK$22,3)),VLOOKUP($A201,Euro!$B$29:$M$182,12))</f>
        <v>#VALUE!</v>
      </c>
      <c r="K201" s="205" t="e">
        <f aca="false">IF(Control!$F$18="Physical",IF($K$4="Mid",VLOOKUP($A201,Curve_Fetch,VLOOKUP(Control!$AJ$10,Control!$AI$11:$AL$22,4)),VLOOKUP($A201,Euro!$B$29:$Q$182,16)),0)</f>
        <v>#VALUE!</v>
      </c>
      <c r="L201" s="204" t="e">
        <f aca="false">SUM(J201:K201)</f>
        <v>#VALUE!</v>
      </c>
      <c r="M201" s="204"/>
      <c r="N201" s="206" t="e">
        <f aca="false">L201+H201</f>
        <v>#VALUE!</v>
      </c>
      <c r="O201" s="206" t="e">
        <f aca="false">N201+Control!$C$39</f>
        <v>#VALUE!</v>
      </c>
      <c r="P201" s="207" t="e">
        <f aca="false">VLOOKUP($A201,CurveFetch!$D$8:$E$367,2)</f>
        <v>#VALUE!</v>
      </c>
      <c r="Q201" s="208" t="e">
        <f aca="false">P201</f>
        <v>#VALUE!</v>
      </c>
      <c r="R201" s="209" t="e">
        <f aca="true">A201-1-TODAY()</f>
        <v>#VALUE!</v>
      </c>
      <c r="S201" s="210" t="e">
        <f aca="false">VLOOKUP($A201,Curve_Fetch,VLOOKUP(Control!$AJ$10,Control!$AI$11:$AM$22,5))</f>
        <v>#VALUE!</v>
      </c>
      <c r="T201" s="211" t="e">
        <f aca="false">EURO(N201,O201,P201,Q201,S201,R201,IF(Control!$C$38="Call",1,0),0)</f>
        <v>#NAME?</v>
      </c>
      <c r="U201" s="174" t="e">
        <f aca="false">T201*B201*E201</f>
        <v>#VALUE!</v>
      </c>
      <c r="V201" s="212"/>
      <c r="W201" s="213"/>
      <c r="X201" s="213"/>
      <c r="Y201" s="213"/>
      <c r="AA201" s="214"/>
      <c r="AB201" s="214"/>
      <c r="AC201" s="215"/>
      <c r="AD201" s="216"/>
      <c r="AE201" s="217"/>
      <c r="AF201" s="218"/>
      <c r="AG201" s="219"/>
      <c r="AH201" s="220"/>
      <c r="AI201" s="174"/>
      <c r="AJ201" s="171" t="e">
        <f aca="false">Y201-L201</f>
        <v>#VALUE!</v>
      </c>
      <c r="AL201" s="208" t="e">
        <f aca="false">VLOOKUP($C201,Curve_Fetch,2)+Cost_of_Funds</f>
        <v>#VALUE!</v>
      </c>
      <c r="AM201" s="210" t="e">
        <f aca="false">1/(1+AL201/2)^(2*(C201-Val_Date)/365.25)</f>
        <v>#VALUE!</v>
      </c>
      <c r="AO201" s="222" t="e">
        <f aca="false">$B201*$E201*$AM201</f>
        <v>#VALUE!</v>
      </c>
      <c r="AP201" s="222"/>
      <c r="AQ201" s="222" t="e">
        <f aca="false">H201*AO201</f>
        <v>#VALUE!</v>
      </c>
      <c r="AR201" s="222"/>
      <c r="AS201" s="174" t="e">
        <f aca="false">J201*$AO201</f>
        <v>#VALUE!</v>
      </c>
      <c r="AT201" s="174" t="e">
        <f aca="false">K201*$AO201</f>
        <v>#VALUE!</v>
      </c>
      <c r="AU201" s="174" t="e">
        <f aca="false">L201*$AO201</f>
        <v>#VALUE!</v>
      </c>
      <c r="AV201" s="174"/>
      <c r="AW201" s="174"/>
      <c r="AY201" s="220"/>
      <c r="AZ201" s="220"/>
      <c r="BA201" s="223"/>
      <c r="BC201" s="220"/>
      <c r="BE201" s="206"/>
    </row>
    <row r="202" customFormat="false" ht="12.75" hidden="false" customHeight="false" outlineLevel="0" collapsed="false">
      <c r="A202" s="167" t="e">
        <f aca="false">([1]!edate,A201,1)</f>
        <v>#VALUE!</v>
      </c>
      <c r="B202" s="201" t="e">
        <f aca="false">A203-A202</f>
        <v>#VALUE!</v>
      </c>
      <c r="C202" s="202" t="e">
        <f aca="false">IF(Control!$F$18="Physical",Model!A203+24,Model!A203)</f>
        <v>#VALUE!</v>
      </c>
      <c r="E202" s="203" t="e">
        <f aca="false">IF($A202&lt;End_Date,IF(Control!$C$20="Flat",Control!$C$21,VLOOKUP(Model!$A202,Euro!$B$29:$D$182,3)),0)</f>
        <v>#VALUE!</v>
      </c>
      <c r="F202" s="203" t="e">
        <f aca="false">E202*B202</f>
        <v>#VALUE!</v>
      </c>
      <c r="H202" s="204" t="e">
        <f aca="false">IF(Control!$C$27="Mid",VLOOKUP($A202,CurveFetch!$D$8:$F$367,3),VLOOKUP($A202,Euro!$B$29:$I$182,8))</f>
        <v>#VALUE!</v>
      </c>
      <c r="I202" s="204"/>
      <c r="J202" s="204" t="e">
        <f aca="false">IF($J$4="Mid",VLOOKUP($A202,Curve_Fetch,VLOOKUP(Control!$AJ$10,Control!$AI$11:$AK$22,3)),VLOOKUP($A202,Euro!$B$29:$M$182,12))</f>
        <v>#VALUE!</v>
      </c>
      <c r="K202" s="205" t="e">
        <f aca="false">IF(Control!$F$18="Physical",IF($K$4="Mid",VLOOKUP($A202,Curve_Fetch,VLOOKUP(Control!$AJ$10,Control!$AI$11:$AL$22,4)),VLOOKUP($A202,Euro!$B$29:$Q$182,16)),0)</f>
        <v>#VALUE!</v>
      </c>
      <c r="L202" s="204" t="e">
        <f aca="false">SUM(J202:K202)</f>
        <v>#VALUE!</v>
      </c>
      <c r="M202" s="204"/>
      <c r="N202" s="206" t="e">
        <f aca="false">L202+H202</f>
        <v>#VALUE!</v>
      </c>
      <c r="O202" s="206" t="e">
        <f aca="false">N202+Control!$C$39</f>
        <v>#VALUE!</v>
      </c>
      <c r="P202" s="207" t="e">
        <f aca="false">VLOOKUP($A202,CurveFetch!$D$8:$E$367,2)</f>
        <v>#VALUE!</v>
      </c>
      <c r="Q202" s="208" t="e">
        <f aca="false">P202</f>
        <v>#VALUE!</v>
      </c>
      <c r="R202" s="209" t="e">
        <f aca="true">A202-1-TODAY()</f>
        <v>#VALUE!</v>
      </c>
      <c r="S202" s="210" t="e">
        <f aca="false">VLOOKUP($A202,Curve_Fetch,VLOOKUP(Control!$AJ$10,Control!$AI$11:$AM$22,5))</f>
        <v>#VALUE!</v>
      </c>
      <c r="T202" s="211" t="e">
        <f aca="false">EURO(N202,O202,P202,Q202,S202,R202,IF(Control!$C$38="Call",1,0),0)</f>
        <v>#NAME?</v>
      </c>
      <c r="U202" s="174" t="e">
        <f aca="false">T202*B202*E202</f>
        <v>#VALUE!</v>
      </c>
      <c r="V202" s="212"/>
      <c r="W202" s="213"/>
      <c r="X202" s="213"/>
      <c r="Y202" s="213"/>
      <c r="AA202" s="214"/>
      <c r="AB202" s="214"/>
      <c r="AC202" s="215"/>
      <c r="AD202" s="216"/>
      <c r="AE202" s="217"/>
      <c r="AF202" s="218"/>
      <c r="AG202" s="219"/>
      <c r="AH202" s="220"/>
      <c r="AI202" s="174"/>
      <c r="AJ202" s="171" t="e">
        <f aca="false">Y202-L202</f>
        <v>#VALUE!</v>
      </c>
      <c r="AL202" s="208" t="e">
        <f aca="false">VLOOKUP($C202,Curve_Fetch,2)+Cost_of_Funds</f>
        <v>#VALUE!</v>
      </c>
      <c r="AM202" s="210" t="e">
        <f aca="false">1/(1+AL202/2)^(2*(C202-Val_Date)/365.25)</f>
        <v>#VALUE!</v>
      </c>
      <c r="AO202" s="222" t="e">
        <f aca="false">$B202*$E202*$AM202</f>
        <v>#VALUE!</v>
      </c>
      <c r="AP202" s="222"/>
      <c r="AQ202" s="222" t="e">
        <f aca="false">H202*AO202</f>
        <v>#VALUE!</v>
      </c>
      <c r="AR202" s="222"/>
      <c r="AS202" s="174" t="e">
        <f aca="false">J202*$AO202</f>
        <v>#VALUE!</v>
      </c>
      <c r="AT202" s="174" t="e">
        <f aca="false">K202*$AO202</f>
        <v>#VALUE!</v>
      </c>
      <c r="AU202" s="174" t="e">
        <f aca="false">L202*$AO202</f>
        <v>#VALUE!</v>
      </c>
      <c r="AV202" s="174"/>
      <c r="AW202" s="174"/>
      <c r="AY202" s="220"/>
      <c r="AZ202" s="220"/>
      <c r="BA202" s="223"/>
      <c r="BC202" s="220"/>
      <c r="BE202" s="206"/>
    </row>
    <row r="203" customFormat="false" ht="12.75" hidden="false" customHeight="false" outlineLevel="0" collapsed="false">
      <c r="A203" s="167" t="e">
        <f aca="false">([1]!edate,A202,1)</f>
        <v>#VALUE!</v>
      </c>
      <c r="B203" s="201" t="e">
        <f aca="false">A204-A203</f>
        <v>#VALUE!</v>
      </c>
      <c r="C203" s="202" t="e">
        <f aca="false">IF(Control!$F$18="Physical",Model!A204+24,Model!A204)</f>
        <v>#VALUE!</v>
      </c>
      <c r="E203" s="203" t="e">
        <f aca="false">IF($A203&lt;End_Date,IF(Control!$C$20="Flat",Control!$C$21,VLOOKUP(Model!$A203,Euro!$B$29:$D$182,3)),0)</f>
        <v>#VALUE!</v>
      </c>
      <c r="F203" s="203" t="e">
        <f aca="false">E203*B203</f>
        <v>#VALUE!</v>
      </c>
      <c r="H203" s="204" t="e">
        <f aca="false">IF(Control!$C$27="Mid",VLOOKUP($A203,CurveFetch!$D$8:$F$367,3),VLOOKUP($A203,Euro!$B$29:$I$182,8))</f>
        <v>#VALUE!</v>
      </c>
      <c r="I203" s="204"/>
      <c r="J203" s="204" t="e">
        <f aca="false">IF($J$4="Mid",VLOOKUP($A203,Curve_Fetch,VLOOKUP(Control!$AJ$10,Control!$AI$11:$AK$22,3)),VLOOKUP($A203,Euro!$B$29:$M$182,12))</f>
        <v>#VALUE!</v>
      </c>
      <c r="K203" s="205" t="e">
        <f aca="false">IF(Control!$F$18="Physical",IF($K$4="Mid",VLOOKUP($A203,Curve_Fetch,VLOOKUP(Control!$AJ$10,Control!$AI$11:$AL$22,4)),VLOOKUP($A203,Euro!$B$29:$Q$182,16)),0)</f>
        <v>#VALUE!</v>
      </c>
      <c r="L203" s="204" t="e">
        <f aca="false">SUM(J203:K203)</f>
        <v>#VALUE!</v>
      </c>
      <c r="M203" s="204"/>
      <c r="N203" s="206" t="e">
        <f aca="false">L203+H203</f>
        <v>#VALUE!</v>
      </c>
      <c r="O203" s="206" t="e">
        <f aca="false">N203+Control!$C$39</f>
        <v>#VALUE!</v>
      </c>
      <c r="P203" s="207" t="e">
        <f aca="false">VLOOKUP($A203,CurveFetch!$D$8:$E$367,2)</f>
        <v>#VALUE!</v>
      </c>
      <c r="Q203" s="208" t="e">
        <f aca="false">P203</f>
        <v>#VALUE!</v>
      </c>
      <c r="R203" s="209" t="e">
        <f aca="true">A203-1-TODAY()</f>
        <v>#VALUE!</v>
      </c>
      <c r="S203" s="210" t="e">
        <f aca="false">VLOOKUP($A203,Curve_Fetch,VLOOKUP(Control!$AJ$10,Control!$AI$11:$AM$22,5))</f>
        <v>#VALUE!</v>
      </c>
      <c r="T203" s="211" t="e">
        <f aca="false">EURO(N203,O203,P203,Q203,S203,R203,IF(Control!$C$38="Call",1,0),0)</f>
        <v>#NAME?</v>
      </c>
      <c r="U203" s="174" t="e">
        <f aca="false">T203*B203*E203</f>
        <v>#VALUE!</v>
      </c>
      <c r="V203" s="212"/>
      <c r="W203" s="213"/>
      <c r="X203" s="213"/>
      <c r="Y203" s="213"/>
      <c r="AA203" s="214"/>
      <c r="AB203" s="214"/>
      <c r="AC203" s="215"/>
      <c r="AD203" s="216"/>
      <c r="AE203" s="217"/>
      <c r="AF203" s="218"/>
      <c r="AG203" s="219"/>
      <c r="AH203" s="220"/>
      <c r="AI203" s="174"/>
      <c r="AJ203" s="171" t="e">
        <f aca="false">Y203-L203</f>
        <v>#VALUE!</v>
      </c>
      <c r="AL203" s="208" t="e">
        <f aca="false">VLOOKUP($C203,Curve_Fetch,2)+Cost_of_Funds</f>
        <v>#VALUE!</v>
      </c>
      <c r="AM203" s="210" t="e">
        <f aca="false">1/(1+AL203/2)^(2*(C203-Val_Date)/365.25)</f>
        <v>#VALUE!</v>
      </c>
      <c r="AO203" s="222" t="e">
        <f aca="false">$B203*$E203*$AM203</f>
        <v>#VALUE!</v>
      </c>
      <c r="AP203" s="222"/>
      <c r="AQ203" s="222" t="e">
        <f aca="false">H203*AO203</f>
        <v>#VALUE!</v>
      </c>
      <c r="AR203" s="222"/>
      <c r="AS203" s="174" t="e">
        <f aca="false">J203*$AO203</f>
        <v>#VALUE!</v>
      </c>
      <c r="AT203" s="174" t="e">
        <f aca="false">K203*$AO203</f>
        <v>#VALUE!</v>
      </c>
      <c r="AU203" s="174" t="e">
        <f aca="false">L203*$AO203</f>
        <v>#VALUE!</v>
      </c>
      <c r="AV203" s="174"/>
      <c r="AW203" s="174"/>
      <c r="AY203" s="220"/>
      <c r="AZ203" s="220"/>
      <c r="BA203" s="223"/>
      <c r="BC203" s="220"/>
      <c r="BE203" s="206"/>
    </row>
    <row r="204" customFormat="false" ht="12.75" hidden="false" customHeight="false" outlineLevel="0" collapsed="false">
      <c r="A204" s="167" t="e">
        <f aca="false">([1]!edate,A203,1)</f>
        <v>#VALUE!</v>
      </c>
      <c r="B204" s="201" t="e">
        <f aca="false">A205-A204</f>
        <v>#VALUE!</v>
      </c>
      <c r="C204" s="202" t="e">
        <f aca="false">IF(Control!$F$18="Physical",Model!A205+24,Model!A205)</f>
        <v>#VALUE!</v>
      </c>
      <c r="E204" s="203" t="e">
        <f aca="false">IF($A204&lt;End_Date,IF(Control!$C$20="Flat",Control!$C$21,VLOOKUP(Model!$A204,Euro!$B$29:$D$182,3)),0)</f>
        <v>#VALUE!</v>
      </c>
      <c r="F204" s="203" t="e">
        <f aca="false">E204*B204</f>
        <v>#VALUE!</v>
      </c>
      <c r="H204" s="204" t="e">
        <f aca="false">IF(Control!$C$27="Mid",VLOOKUP($A204,CurveFetch!$D$8:$F$367,3),VLOOKUP($A204,Euro!$B$29:$I$182,8))</f>
        <v>#VALUE!</v>
      </c>
      <c r="I204" s="204"/>
      <c r="J204" s="204" t="e">
        <f aca="false">IF($J$4="Mid",VLOOKUP($A204,Curve_Fetch,VLOOKUP(Control!$AJ$10,Control!$AI$11:$AK$22,3)),VLOOKUP($A204,Euro!$B$29:$M$182,12))</f>
        <v>#VALUE!</v>
      </c>
      <c r="K204" s="205" t="e">
        <f aca="false">IF(Control!$F$18="Physical",IF($K$4="Mid",VLOOKUP($A204,Curve_Fetch,VLOOKUP(Control!$AJ$10,Control!$AI$11:$AL$22,4)),VLOOKUP($A204,Euro!$B$29:$Q$182,16)),0)</f>
        <v>#VALUE!</v>
      </c>
      <c r="L204" s="204" t="e">
        <f aca="false">SUM(J204:K204)</f>
        <v>#VALUE!</v>
      </c>
      <c r="M204" s="204"/>
      <c r="N204" s="206" t="e">
        <f aca="false">L204+H204</f>
        <v>#VALUE!</v>
      </c>
      <c r="O204" s="206" t="e">
        <f aca="false">N204+Control!$C$39</f>
        <v>#VALUE!</v>
      </c>
      <c r="P204" s="207" t="e">
        <f aca="false">VLOOKUP($A204,CurveFetch!$D$8:$E$367,2)</f>
        <v>#VALUE!</v>
      </c>
      <c r="Q204" s="208" t="e">
        <f aca="false">P204</f>
        <v>#VALUE!</v>
      </c>
      <c r="R204" s="209" t="e">
        <f aca="true">A204-1-TODAY()</f>
        <v>#VALUE!</v>
      </c>
      <c r="S204" s="210" t="e">
        <f aca="false">VLOOKUP($A204,Curve_Fetch,VLOOKUP(Control!$AJ$10,Control!$AI$11:$AM$22,5))</f>
        <v>#VALUE!</v>
      </c>
      <c r="T204" s="211" t="e">
        <f aca="false">EURO(N204,O204,P204,Q204,S204,R204,IF(Control!$C$38="Call",1,0),0)</f>
        <v>#NAME?</v>
      </c>
      <c r="U204" s="174" t="e">
        <f aca="false">T204*B204*E204</f>
        <v>#VALUE!</v>
      </c>
      <c r="V204" s="212"/>
      <c r="W204" s="213"/>
      <c r="X204" s="213"/>
      <c r="Y204" s="213"/>
      <c r="AA204" s="214"/>
      <c r="AB204" s="214"/>
      <c r="AC204" s="215"/>
      <c r="AD204" s="216"/>
      <c r="AE204" s="217"/>
      <c r="AF204" s="218"/>
      <c r="AG204" s="219"/>
      <c r="AH204" s="220"/>
      <c r="AI204" s="174"/>
      <c r="AJ204" s="171" t="e">
        <f aca="false">Y204-L204</f>
        <v>#VALUE!</v>
      </c>
      <c r="AL204" s="208" t="e">
        <f aca="false">VLOOKUP($C204,Curve_Fetch,2)+Cost_of_Funds</f>
        <v>#VALUE!</v>
      </c>
      <c r="AM204" s="210" t="e">
        <f aca="false">1/(1+AL204/2)^(2*(C204-Val_Date)/365.25)</f>
        <v>#VALUE!</v>
      </c>
      <c r="AO204" s="222" t="e">
        <f aca="false">$B204*$E204*$AM204</f>
        <v>#VALUE!</v>
      </c>
      <c r="AP204" s="222"/>
      <c r="AQ204" s="222" t="e">
        <f aca="false">H204*AO204</f>
        <v>#VALUE!</v>
      </c>
      <c r="AR204" s="222"/>
      <c r="AS204" s="174" t="e">
        <f aca="false">J204*$AO204</f>
        <v>#VALUE!</v>
      </c>
      <c r="AT204" s="174" t="e">
        <f aca="false">K204*$AO204</f>
        <v>#VALUE!</v>
      </c>
      <c r="AU204" s="174" t="e">
        <f aca="false">L204*$AO204</f>
        <v>#VALUE!</v>
      </c>
      <c r="AV204" s="174"/>
      <c r="AW204" s="174"/>
      <c r="AY204" s="220"/>
      <c r="AZ204" s="220"/>
      <c r="BA204" s="223"/>
      <c r="BC204" s="220"/>
      <c r="BE204" s="206"/>
    </row>
    <row r="205" customFormat="false" ht="12.75" hidden="false" customHeight="false" outlineLevel="0" collapsed="false">
      <c r="A205" s="167" t="e">
        <f aca="false">([1]!edate,A204,1)</f>
        <v>#VALUE!</v>
      </c>
      <c r="B205" s="201" t="e">
        <f aca="false">A206-A205</f>
        <v>#VALUE!</v>
      </c>
      <c r="C205" s="202" t="e">
        <f aca="false">IF(Control!$F$18="Physical",Model!A206+24,Model!A206)</f>
        <v>#VALUE!</v>
      </c>
      <c r="E205" s="203" t="e">
        <f aca="false">IF($A205&lt;End_Date,IF(Control!$C$20="Flat",Control!$C$21,VLOOKUP(Model!$A205,Euro!$B$29:$D$182,3)),0)</f>
        <v>#VALUE!</v>
      </c>
      <c r="F205" s="203" t="e">
        <f aca="false">E205*B205</f>
        <v>#VALUE!</v>
      </c>
      <c r="H205" s="204" t="e">
        <f aca="false">IF(Control!$C$27="Mid",VLOOKUP($A205,CurveFetch!$D$8:$F$367,3),VLOOKUP($A205,Euro!$B$29:$I$182,8))</f>
        <v>#VALUE!</v>
      </c>
      <c r="I205" s="204"/>
      <c r="J205" s="204" t="e">
        <f aca="false">IF($J$4="Mid",VLOOKUP($A205,Curve_Fetch,VLOOKUP(Control!$AJ$10,Control!$AI$11:$AK$22,3)),VLOOKUP($A205,Euro!$B$29:$M$182,12))</f>
        <v>#VALUE!</v>
      </c>
      <c r="K205" s="205" t="e">
        <f aca="false">IF(Control!$F$18="Physical",IF($K$4="Mid",VLOOKUP($A205,Curve_Fetch,VLOOKUP(Control!$AJ$10,Control!$AI$11:$AL$22,4)),VLOOKUP($A205,Euro!$B$29:$Q$182,16)),0)</f>
        <v>#VALUE!</v>
      </c>
      <c r="L205" s="204" t="e">
        <f aca="false">SUM(J205:K205)</f>
        <v>#VALUE!</v>
      </c>
      <c r="M205" s="204"/>
      <c r="N205" s="206" t="e">
        <f aca="false">L205+H205</f>
        <v>#VALUE!</v>
      </c>
      <c r="O205" s="206" t="e">
        <f aca="false">N205+Control!$C$39</f>
        <v>#VALUE!</v>
      </c>
      <c r="P205" s="207" t="e">
        <f aca="false">VLOOKUP($A205,CurveFetch!$D$8:$E$367,2)</f>
        <v>#VALUE!</v>
      </c>
      <c r="Q205" s="208" t="e">
        <f aca="false">P205</f>
        <v>#VALUE!</v>
      </c>
      <c r="R205" s="209" t="e">
        <f aca="true">A205-1-TODAY()</f>
        <v>#VALUE!</v>
      </c>
      <c r="S205" s="210" t="e">
        <f aca="false">VLOOKUP($A205,Curve_Fetch,VLOOKUP(Control!$AJ$10,Control!$AI$11:$AM$22,5))</f>
        <v>#VALUE!</v>
      </c>
      <c r="T205" s="211" t="e">
        <f aca="false">EURO(N205,O205,P205,Q205,S205,R205,IF(Control!$C$38="Call",1,0),0)</f>
        <v>#NAME?</v>
      </c>
      <c r="U205" s="174" t="e">
        <f aca="false">T205*B205*E205</f>
        <v>#VALUE!</v>
      </c>
      <c r="V205" s="212"/>
      <c r="W205" s="213"/>
      <c r="X205" s="213"/>
      <c r="Y205" s="213"/>
      <c r="AA205" s="214"/>
      <c r="AB205" s="214"/>
      <c r="AC205" s="215"/>
      <c r="AD205" s="216"/>
      <c r="AE205" s="217"/>
      <c r="AF205" s="218"/>
      <c r="AG205" s="219"/>
      <c r="AH205" s="220"/>
      <c r="AI205" s="174"/>
      <c r="AJ205" s="171" t="e">
        <f aca="false">Y205-L205</f>
        <v>#VALUE!</v>
      </c>
      <c r="AL205" s="208" t="e">
        <f aca="false">VLOOKUP($C205,Curve_Fetch,2)+Cost_of_Funds</f>
        <v>#VALUE!</v>
      </c>
      <c r="AM205" s="210" t="e">
        <f aca="false">1/(1+AL205/2)^(2*(C205-Val_Date)/365.25)</f>
        <v>#VALUE!</v>
      </c>
      <c r="AO205" s="222" t="e">
        <f aca="false">$B205*$E205*$AM205</f>
        <v>#VALUE!</v>
      </c>
      <c r="AP205" s="222"/>
      <c r="AQ205" s="222" t="e">
        <f aca="false">H205*AO205</f>
        <v>#VALUE!</v>
      </c>
      <c r="AR205" s="222"/>
      <c r="AS205" s="174" t="e">
        <f aca="false">J205*$AO205</f>
        <v>#VALUE!</v>
      </c>
      <c r="AT205" s="174" t="e">
        <f aca="false">K205*$AO205</f>
        <v>#VALUE!</v>
      </c>
      <c r="AU205" s="174" t="e">
        <f aca="false">L205*$AO205</f>
        <v>#VALUE!</v>
      </c>
      <c r="AV205" s="174"/>
      <c r="AW205" s="174"/>
      <c r="AY205" s="220"/>
      <c r="AZ205" s="220"/>
      <c r="BA205" s="223"/>
      <c r="BC205" s="220"/>
      <c r="BE205" s="206"/>
    </row>
    <row r="206" customFormat="false" ht="12.75" hidden="false" customHeight="false" outlineLevel="0" collapsed="false">
      <c r="A206" s="167" t="e">
        <f aca="false">([1]!edate,A205,1)</f>
        <v>#VALUE!</v>
      </c>
      <c r="B206" s="201" t="e">
        <f aca="false">A207-A206</f>
        <v>#VALUE!</v>
      </c>
      <c r="C206" s="202" t="e">
        <f aca="false">IF(Control!$F$18="Physical",Model!A207+24,Model!A207)</f>
        <v>#VALUE!</v>
      </c>
      <c r="E206" s="203" t="e">
        <f aca="false">IF($A206&lt;End_Date,IF(Control!$C$20="Flat",Control!$C$21,VLOOKUP(Model!$A206,Euro!$B$29:$D$182,3)),0)</f>
        <v>#VALUE!</v>
      </c>
      <c r="F206" s="203" t="e">
        <f aca="false">E206*B206</f>
        <v>#VALUE!</v>
      </c>
      <c r="H206" s="204" t="e">
        <f aca="false">IF(Control!$C$27="Mid",VLOOKUP($A206,CurveFetch!$D$8:$F$367,3),VLOOKUP($A206,Euro!$B$29:$I$182,8))</f>
        <v>#VALUE!</v>
      </c>
      <c r="I206" s="204"/>
      <c r="J206" s="204" t="e">
        <f aca="false">IF($J$4="Mid",VLOOKUP($A206,Curve_Fetch,VLOOKUP(Control!$AJ$10,Control!$AI$11:$AK$22,3)),VLOOKUP($A206,Euro!$B$29:$M$182,12))</f>
        <v>#VALUE!</v>
      </c>
      <c r="K206" s="205" t="e">
        <f aca="false">IF(Control!$F$18="Physical",IF($K$4="Mid",VLOOKUP($A206,Curve_Fetch,VLOOKUP(Control!$AJ$10,Control!$AI$11:$AL$22,4)),VLOOKUP($A206,Euro!$B$29:$Q$182,16)),0)</f>
        <v>#VALUE!</v>
      </c>
      <c r="L206" s="204" t="e">
        <f aca="false">SUM(J206:K206)</f>
        <v>#VALUE!</v>
      </c>
      <c r="M206" s="204"/>
      <c r="N206" s="206" t="e">
        <f aca="false">L206+H206</f>
        <v>#VALUE!</v>
      </c>
      <c r="O206" s="206" t="e">
        <f aca="false">N206+Control!$C$39</f>
        <v>#VALUE!</v>
      </c>
      <c r="P206" s="207" t="e">
        <f aca="false">VLOOKUP($A206,CurveFetch!$D$8:$E$367,2)</f>
        <v>#VALUE!</v>
      </c>
      <c r="Q206" s="208" t="e">
        <f aca="false">P206</f>
        <v>#VALUE!</v>
      </c>
      <c r="R206" s="209" t="e">
        <f aca="true">A206-1-TODAY()</f>
        <v>#VALUE!</v>
      </c>
      <c r="S206" s="210" t="e">
        <f aca="false">VLOOKUP($A206,Curve_Fetch,VLOOKUP(Control!$AJ$10,Control!$AI$11:$AM$22,5))</f>
        <v>#VALUE!</v>
      </c>
      <c r="T206" s="211" t="e">
        <f aca="false">EURO(N206,O206,P206,Q206,S206,R206,IF(Control!$C$38="Call",1,0),0)</f>
        <v>#NAME?</v>
      </c>
      <c r="U206" s="174" t="e">
        <f aca="false">T206*B206*E206</f>
        <v>#VALUE!</v>
      </c>
      <c r="V206" s="212"/>
      <c r="W206" s="213"/>
      <c r="X206" s="213"/>
      <c r="Y206" s="213"/>
      <c r="AA206" s="214"/>
      <c r="AB206" s="214"/>
      <c r="AC206" s="215"/>
      <c r="AD206" s="216"/>
      <c r="AE206" s="217"/>
      <c r="AF206" s="218"/>
      <c r="AG206" s="219"/>
      <c r="AH206" s="220"/>
      <c r="AI206" s="174"/>
      <c r="AJ206" s="171" t="e">
        <f aca="false">Y206-L206</f>
        <v>#VALUE!</v>
      </c>
      <c r="AL206" s="208" t="e">
        <f aca="false">VLOOKUP($C206,Curve_Fetch,2)+Cost_of_Funds</f>
        <v>#VALUE!</v>
      </c>
      <c r="AM206" s="210" t="e">
        <f aca="false">1/(1+AL206/2)^(2*(C206-Val_Date)/365.25)</f>
        <v>#VALUE!</v>
      </c>
      <c r="AO206" s="222" t="e">
        <f aca="false">$B206*$E206*$AM206</f>
        <v>#VALUE!</v>
      </c>
      <c r="AP206" s="222"/>
      <c r="AQ206" s="222" t="e">
        <f aca="false">H206*AO206</f>
        <v>#VALUE!</v>
      </c>
      <c r="AR206" s="222"/>
      <c r="AS206" s="174" t="e">
        <f aca="false">J206*$AO206</f>
        <v>#VALUE!</v>
      </c>
      <c r="AT206" s="174" t="e">
        <f aca="false">K206*$AO206</f>
        <v>#VALUE!</v>
      </c>
      <c r="AU206" s="174" t="e">
        <f aca="false">L206*$AO206</f>
        <v>#VALUE!</v>
      </c>
      <c r="AV206" s="174"/>
      <c r="AW206" s="174"/>
      <c r="AY206" s="220"/>
      <c r="AZ206" s="220"/>
      <c r="BA206" s="223"/>
      <c r="BC206" s="220"/>
      <c r="BE206" s="206"/>
    </row>
    <row r="207" customFormat="false" ht="12.75" hidden="false" customHeight="false" outlineLevel="0" collapsed="false">
      <c r="A207" s="167" t="e">
        <f aca="false">([1]!edate,A206,1)</f>
        <v>#VALUE!</v>
      </c>
      <c r="B207" s="201" t="e">
        <f aca="false">A208-A207</f>
        <v>#VALUE!</v>
      </c>
      <c r="C207" s="202" t="e">
        <f aca="false">IF(Control!$F$18="Physical",Model!A208+24,Model!A208)</f>
        <v>#VALUE!</v>
      </c>
      <c r="E207" s="203" t="e">
        <f aca="false">IF($A207&lt;End_Date,IF(Control!$C$20="Flat",Control!$C$21,VLOOKUP(Model!$A207,Euro!$B$29:$D$182,3)),0)</f>
        <v>#VALUE!</v>
      </c>
      <c r="F207" s="203" t="e">
        <f aca="false">E207*B207</f>
        <v>#VALUE!</v>
      </c>
      <c r="H207" s="204" t="e">
        <f aca="false">IF(Control!$C$27="Mid",VLOOKUP($A207,CurveFetch!$D$8:$F$367,3),VLOOKUP($A207,Euro!$B$29:$I$182,8))</f>
        <v>#VALUE!</v>
      </c>
      <c r="I207" s="204"/>
      <c r="J207" s="204" t="e">
        <f aca="false">IF($J$4="Mid",VLOOKUP($A207,Curve_Fetch,VLOOKUP(Control!$AJ$10,Control!$AI$11:$AK$22,3)),VLOOKUP($A207,Euro!$B$29:$M$182,12))</f>
        <v>#VALUE!</v>
      </c>
      <c r="K207" s="205" t="e">
        <f aca="false">IF(Control!$F$18="Physical",IF($K$4="Mid",VLOOKUP($A207,Curve_Fetch,VLOOKUP(Control!$AJ$10,Control!$AI$11:$AL$22,4)),VLOOKUP($A207,Euro!$B$29:$Q$182,16)),0)</f>
        <v>#VALUE!</v>
      </c>
      <c r="L207" s="204" t="e">
        <f aca="false">SUM(J207:K207)</f>
        <v>#VALUE!</v>
      </c>
      <c r="M207" s="204"/>
      <c r="N207" s="206" t="e">
        <f aca="false">L207+H207</f>
        <v>#VALUE!</v>
      </c>
      <c r="O207" s="206" t="e">
        <f aca="false">N207+Control!$C$39</f>
        <v>#VALUE!</v>
      </c>
      <c r="P207" s="207" t="e">
        <f aca="false">VLOOKUP($A207,CurveFetch!$D$8:$E$367,2)</f>
        <v>#VALUE!</v>
      </c>
      <c r="Q207" s="208" t="e">
        <f aca="false">P207</f>
        <v>#VALUE!</v>
      </c>
      <c r="R207" s="209" t="e">
        <f aca="true">A207-1-TODAY()</f>
        <v>#VALUE!</v>
      </c>
      <c r="S207" s="210" t="e">
        <f aca="false">VLOOKUP($A207,Curve_Fetch,VLOOKUP(Control!$AJ$10,Control!$AI$11:$AM$22,5))</f>
        <v>#VALUE!</v>
      </c>
      <c r="T207" s="211" t="e">
        <f aca="false">EURO(N207,O207,P207,Q207,S207,R207,IF(Control!$C$38="Call",1,0),0)</f>
        <v>#NAME?</v>
      </c>
      <c r="U207" s="174" t="e">
        <f aca="false">T207*B207*E207</f>
        <v>#VALUE!</v>
      </c>
      <c r="V207" s="212"/>
      <c r="W207" s="213"/>
      <c r="X207" s="213"/>
      <c r="Y207" s="213"/>
      <c r="AA207" s="214"/>
      <c r="AB207" s="214"/>
      <c r="AC207" s="215"/>
      <c r="AD207" s="216"/>
      <c r="AE207" s="217"/>
      <c r="AF207" s="218"/>
      <c r="AG207" s="219"/>
      <c r="AH207" s="220"/>
      <c r="AI207" s="174"/>
      <c r="AJ207" s="171" t="e">
        <f aca="false">Y207-L207</f>
        <v>#VALUE!</v>
      </c>
      <c r="AL207" s="208" t="e">
        <f aca="false">VLOOKUP($C207,Curve_Fetch,2)+Cost_of_Funds</f>
        <v>#VALUE!</v>
      </c>
      <c r="AM207" s="210" t="e">
        <f aca="false">1/(1+AL207/2)^(2*(C207-Val_Date)/365.25)</f>
        <v>#VALUE!</v>
      </c>
      <c r="AO207" s="222" t="e">
        <f aca="false">$B207*$E207*$AM207</f>
        <v>#VALUE!</v>
      </c>
      <c r="AP207" s="222"/>
      <c r="AQ207" s="222" t="e">
        <f aca="false">H207*AO207</f>
        <v>#VALUE!</v>
      </c>
      <c r="AR207" s="222"/>
      <c r="AS207" s="174" t="e">
        <f aca="false">J207*$AO207</f>
        <v>#VALUE!</v>
      </c>
      <c r="AT207" s="174" t="e">
        <f aca="false">K207*$AO207</f>
        <v>#VALUE!</v>
      </c>
      <c r="AU207" s="174" t="e">
        <f aca="false">L207*$AO207</f>
        <v>#VALUE!</v>
      </c>
      <c r="AV207" s="174"/>
      <c r="AW207" s="174"/>
      <c r="AY207" s="220"/>
      <c r="AZ207" s="220"/>
      <c r="BA207" s="223"/>
      <c r="BC207" s="220"/>
      <c r="BE207" s="206"/>
    </row>
    <row r="208" customFormat="false" ht="12.75" hidden="false" customHeight="false" outlineLevel="0" collapsed="false">
      <c r="A208" s="167" t="e">
        <f aca="false">([1]!edate,A207,1)</f>
        <v>#VALUE!</v>
      </c>
      <c r="B208" s="201" t="e">
        <f aca="false">A209-A208</f>
        <v>#VALUE!</v>
      </c>
      <c r="C208" s="202" t="e">
        <f aca="false">IF(Control!$F$18="Physical",Model!A209+24,Model!A209)</f>
        <v>#VALUE!</v>
      </c>
      <c r="E208" s="203" t="e">
        <f aca="false">IF($A208&lt;End_Date,IF(Control!$C$20="Flat",Control!$C$21,VLOOKUP(Model!$A208,Euro!$B$29:$D$182,3)),0)</f>
        <v>#VALUE!</v>
      </c>
      <c r="F208" s="203" t="e">
        <f aca="false">E208*B208</f>
        <v>#VALUE!</v>
      </c>
      <c r="H208" s="204" t="e">
        <f aca="false">IF(Control!$C$27="Mid",VLOOKUP($A208,CurveFetch!$D$8:$F$367,3),VLOOKUP($A208,Euro!$B$29:$I$182,8))</f>
        <v>#VALUE!</v>
      </c>
      <c r="I208" s="204"/>
      <c r="J208" s="204" t="e">
        <f aca="false">IF($J$4="Mid",VLOOKUP($A208,Curve_Fetch,VLOOKUP(Control!$AJ$10,Control!$AI$11:$AK$22,3)),VLOOKUP($A208,Euro!$B$29:$M$182,12))</f>
        <v>#VALUE!</v>
      </c>
      <c r="K208" s="205" t="e">
        <f aca="false">IF(Control!$F$18="Physical",IF($K$4="Mid",VLOOKUP($A208,Curve_Fetch,VLOOKUP(Control!$AJ$10,Control!$AI$11:$AL$22,4)),VLOOKUP($A208,Euro!$B$29:$Q$182,16)),0)</f>
        <v>#VALUE!</v>
      </c>
      <c r="L208" s="204" t="e">
        <f aca="false">SUM(J208:K208)</f>
        <v>#VALUE!</v>
      </c>
      <c r="M208" s="204"/>
      <c r="N208" s="206" t="e">
        <f aca="false">L208+H208</f>
        <v>#VALUE!</v>
      </c>
      <c r="O208" s="206" t="e">
        <f aca="false">N208+Control!$C$39</f>
        <v>#VALUE!</v>
      </c>
      <c r="P208" s="207" t="e">
        <f aca="false">VLOOKUP($A208,CurveFetch!$D$8:$E$367,2)</f>
        <v>#VALUE!</v>
      </c>
      <c r="Q208" s="208" t="e">
        <f aca="false">P208</f>
        <v>#VALUE!</v>
      </c>
      <c r="R208" s="209" t="e">
        <f aca="true">A208-1-TODAY()</f>
        <v>#VALUE!</v>
      </c>
      <c r="S208" s="210" t="e">
        <f aca="false">VLOOKUP($A208,Curve_Fetch,VLOOKUP(Control!$AJ$10,Control!$AI$11:$AM$22,5))</f>
        <v>#VALUE!</v>
      </c>
      <c r="T208" s="211" t="e">
        <f aca="false">EURO(N208,O208,P208,Q208,S208,R208,IF(Control!$C$38="Call",1,0),0)</f>
        <v>#NAME?</v>
      </c>
      <c r="U208" s="174" t="e">
        <f aca="false">T208*B208*E208</f>
        <v>#VALUE!</v>
      </c>
      <c r="V208" s="212"/>
      <c r="W208" s="213"/>
      <c r="X208" s="213"/>
      <c r="Y208" s="213"/>
      <c r="AA208" s="214"/>
      <c r="AB208" s="214"/>
      <c r="AC208" s="215"/>
      <c r="AD208" s="216"/>
      <c r="AE208" s="217"/>
      <c r="AF208" s="218"/>
      <c r="AG208" s="219"/>
      <c r="AH208" s="220"/>
      <c r="AI208" s="174"/>
      <c r="AJ208" s="171" t="e">
        <f aca="false">Y208-L208</f>
        <v>#VALUE!</v>
      </c>
      <c r="AL208" s="208" t="e">
        <f aca="false">VLOOKUP($C208,Curve_Fetch,2)+Cost_of_Funds</f>
        <v>#VALUE!</v>
      </c>
      <c r="AM208" s="210" t="e">
        <f aca="false">1/(1+AL208/2)^(2*(C208-Val_Date)/365.25)</f>
        <v>#VALUE!</v>
      </c>
      <c r="AO208" s="222" t="e">
        <f aca="false">$B208*$E208*$AM208</f>
        <v>#VALUE!</v>
      </c>
      <c r="AP208" s="222"/>
      <c r="AQ208" s="222" t="e">
        <f aca="false">H208*AO208</f>
        <v>#VALUE!</v>
      </c>
      <c r="AR208" s="222"/>
      <c r="AS208" s="174" t="e">
        <f aca="false">J208*$AO208</f>
        <v>#VALUE!</v>
      </c>
      <c r="AT208" s="174" t="e">
        <f aca="false">K208*$AO208</f>
        <v>#VALUE!</v>
      </c>
      <c r="AU208" s="174" t="e">
        <f aca="false">L208*$AO208</f>
        <v>#VALUE!</v>
      </c>
      <c r="AV208" s="174"/>
      <c r="AW208" s="174"/>
      <c r="AY208" s="220"/>
      <c r="AZ208" s="220"/>
      <c r="BA208" s="223"/>
      <c r="BC208" s="220"/>
      <c r="BE208" s="206"/>
    </row>
    <row r="209" customFormat="false" ht="12.75" hidden="false" customHeight="false" outlineLevel="0" collapsed="false">
      <c r="A209" s="167" t="e">
        <f aca="false">([1]!edate,A208,1)</f>
        <v>#VALUE!</v>
      </c>
      <c r="B209" s="201" t="e">
        <f aca="false">A210-A209</f>
        <v>#VALUE!</v>
      </c>
      <c r="C209" s="202" t="e">
        <f aca="false">IF(Control!$F$18="Physical",Model!A210+24,Model!A210)</f>
        <v>#VALUE!</v>
      </c>
      <c r="E209" s="203" t="e">
        <f aca="false">IF($A209&lt;End_Date,IF(Control!$C$20="Flat",Control!$C$21,VLOOKUP(Model!$A209,Euro!$B$29:$D$182,3)),0)</f>
        <v>#VALUE!</v>
      </c>
      <c r="F209" s="203" t="e">
        <f aca="false">E209*B209</f>
        <v>#VALUE!</v>
      </c>
      <c r="H209" s="204" t="e">
        <f aca="false">IF(Control!$C$27="Mid",VLOOKUP($A209,CurveFetch!$D$8:$F$367,3),VLOOKUP($A209,Euro!$B$29:$I$182,8))</f>
        <v>#VALUE!</v>
      </c>
      <c r="I209" s="204"/>
      <c r="J209" s="204" t="e">
        <f aca="false">IF($J$4="Mid",VLOOKUP($A209,Curve_Fetch,VLOOKUP(Control!$AJ$10,Control!$AI$11:$AK$22,3)),VLOOKUP($A209,Euro!$B$29:$M$182,12))</f>
        <v>#VALUE!</v>
      </c>
      <c r="K209" s="205" t="e">
        <f aca="false">IF(Control!$F$18="Physical",IF($K$4="Mid",VLOOKUP($A209,Curve_Fetch,VLOOKUP(Control!$AJ$10,Control!$AI$11:$AL$22,4)),VLOOKUP($A209,Euro!$B$29:$Q$182,16)),0)</f>
        <v>#VALUE!</v>
      </c>
      <c r="L209" s="204" t="e">
        <f aca="false">SUM(J209:K209)</f>
        <v>#VALUE!</v>
      </c>
      <c r="M209" s="204"/>
      <c r="N209" s="206" t="e">
        <f aca="false">L209+H209</f>
        <v>#VALUE!</v>
      </c>
      <c r="O209" s="206" t="e">
        <f aca="false">N209+Control!$C$39</f>
        <v>#VALUE!</v>
      </c>
      <c r="P209" s="207" t="e">
        <f aca="false">VLOOKUP($A209,CurveFetch!$D$8:$E$367,2)</f>
        <v>#VALUE!</v>
      </c>
      <c r="Q209" s="208" t="e">
        <f aca="false">P209</f>
        <v>#VALUE!</v>
      </c>
      <c r="R209" s="209" t="e">
        <f aca="true">A209-1-TODAY()</f>
        <v>#VALUE!</v>
      </c>
      <c r="S209" s="210" t="e">
        <f aca="false">VLOOKUP($A209,Curve_Fetch,VLOOKUP(Control!$AJ$10,Control!$AI$11:$AM$22,5))</f>
        <v>#VALUE!</v>
      </c>
      <c r="T209" s="211" t="e">
        <f aca="false">EURO(N209,O209,P209,Q209,S209,R209,IF(Control!$C$38="Call",1,0),0)</f>
        <v>#NAME?</v>
      </c>
      <c r="U209" s="174" t="e">
        <f aca="false">T209*B209*E209</f>
        <v>#VALUE!</v>
      </c>
      <c r="V209" s="212"/>
      <c r="W209" s="213"/>
      <c r="X209" s="213"/>
      <c r="Y209" s="213"/>
      <c r="AA209" s="214"/>
      <c r="AB209" s="214"/>
      <c r="AC209" s="215"/>
      <c r="AD209" s="216"/>
      <c r="AE209" s="217"/>
      <c r="AF209" s="218"/>
      <c r="AG209" s="219"/>
      <c r="AH209" s="220"/>
      <c r="AI209" s="174"/>
      <c r="AJ209" s="171" t="e">
        <f aca="false">Y209-L209</f>
        <v>#VALUE!</v>
      </c>
      <c r="AL209" s="208" t="e">
        <f aca="false">VLOOKUP($C209,Curve_Fetch,2)+Cost_of_Funds</f>
        <v>#VALUE!</v>
      </c>
      <c r="AM209" s="210" t="e">
        <f aca="false">1/(1+AL209/2)^(2*(C209-Val_Date)/365.25)</f>
        <v>#VALUE!</v>
      </c>
      <c r="AO209" s="222" t="e">
        <f aca="false">$B209*$E209*$AM209</f>
        <v>#VALUE!</v>
      </c>
      <c r="AP209" s="222"/>
      <c r="AQ209" s="222" t="e">
        <f aca="false">H209*AO209</f>
        <v>#VALUE!</v>
      </c>
      <c r="AR209" s="222"/>
      <c r="AS209" s="174" t="e">
        <f aca="false">J209*$AO209</f>
        <v>#VALUE!</v>
      </c>
      <c r="AT209" s="174" t="e">
        <f aca="false">K209*$AO209</f>
        <v>#VALUE!</v>
      </c>
      <c r="AU209" s="174" t="e">
        <f aca="false">L209*$AO209</f>
        <v>#VALUE!</v>
      </c>
      <c r="AV209" s="174"/>
      <c r="AW209" s="174"/>
      <c r="AY209" s="220"/>
      <c r="AZ209" s="220"/>
      <c r="BA209" s="223"/>
      <c r="BC209" s="220"/>
      <c r="BE209" s="206"/>
    </row>
    <row r="210" customFormat="false" ht="12.75" hidden="false" customHeight="false" outlineLevel="0" collapsed="false">
      <c r="A210" s="167" t="e">
        <f aca="false">([1]!edate,A209,1)</f>
        <v>#VALUE!</v>
      </c>
      <c r="B210" s="201" t="e">
        <f aca="false">A211-A210</f>
        <v>#VALUE!</v>
      </c>
      <c r="C210" s="202" t="e">
        <f aca="false">IF(Control!$F$18="Physical",Model!A211+24,Model!A211)</f>
        <v>#VALUE!</v>
      </c>
      <c r="E210" s="203" t="e">
        <f aca="false">IF($A210&lt;End_Date,IF(Control!$C$20="Flat",Control!$C$21,VLOOKUP(Model!$A210,Euro!$B$29:$D$182,3)),0)</f>
        <v>#VALUE!</v>
      </c>
      <c r="F210" s="203" t="e">
        <f aca="false">E210*B210</f>
        <v>#VALUE!</v>
      </c>
      <c r="H210" s="204" t="e">
        <f aca="false">IF(Control!$C$27="Mid",VLOOKUP($A210,CurveFetch!$D$8:$F$367,3),VLOOKUP($A210,Euro!$B$29:$I$182,8))</f>
        <v>#VALUE!</v>
      </c>
      <c r="I210" s="204"/>
      <c r="J210" s="204" t="e">
        <f aca="false">IF($J$4="Mid",VLOOKUP($A210,Curve_Fetch,VLOOKUP(Control!$AJ$10,Control!$AI$11:$AK$22,3)),VLOOKUP($A210,Euro!$B$29:$M$182,12))</f>
        <v>#VALUE!</v>
      </c>
      <c r="K210" s="205" t="e">
        <f aca="false">IF(Control!$F$18="Physical",IF($K$4="Mid",VLOOKUP($A210,Curve_Fetch,VLOOKUP(Control!$AJ$10,Control!$AI$11:$AL$22,4)),VLOOKUP($A210,Euro!$B$29:$Q$182,16)),0)</f>
        <v>#VALUE!</v>
      </c>
      <c r="L210" s="204" t="e">
        <f aca="false">SUM(J210:K210)</f>
        <v>#VALUE!</v>
      </c>
      <c r="M210" s="204"/>
      <c r="N210" s="206" t="e">
        <f aca="false">L210+H210</f>
        <v>#VALUE!</v>
      </c>
      <c r="O210" s="206" t="e">
        <f aca="false">N210+Control!$C$39</f>
        <v>#VALUE!</v>
      </c>
      <c r="P210" s="207" t="e">
        <f aca="false">VLOOKUP($A210,CurveFetch!$D$8:$E$367,2)</f>
        <v>#VALUE!</v>
      </c>
      <c r="Q210" s="208" t="e">
        <f aca="false">P210</f>
        <v>#VALUE!</v>
      </c>
      <c r="R210" s="209" t="e">
        <f aca="true">A210-1-TODAY()</f>
        <v>#VALUE!</v>
      </c>
      <c r="S210" s="210" t="e">
        <f aca="false">VLOOKUP($A210,Curve_Fetch,VLOOKUP(Control!$AJ$10,Control!$AI$11:$AM$22,5))</f>
        <v>#VALUE!</v>
      </c>
      <c r="T210" s="211" t="e">
        <f aca="false">EURO(N210,O210,P210,Q210,S210,R210,IF(Control!$C$38="Call",1,0),0)</f>
        <v>#NAME?</v>
      </c>
      <c r="U210" s="174" t="e">
        <f aca="false">T210*B210*E210</f>
        <v>#VALUE!</v>
      </c>
      <c r="V210" s="212"/>
      <c r="W210" s="213"/>
      <c r="X210" s="213"/>
      <c r="Y210" s="213"/>
      <c r="AA210" s="214"/>
      <c r="AB210" s="214"/>
      <c r="AC210" s="215"/>
      <c r="AD210" s="216"/>
      <c r="AE210" s="217"/>
      <c r="AF210" s="218"/>
      <c r="AG210" s="219"/>
      <c r="AH210" s="220"/>
      <c r="AI210" s="174"/>
      <c r="AJ210" s="171" t="e">
        <f aca="false">Y210-L210</f>
        <v>#VALUE!</v>
      </c>
      <c r="AL210" s="208" t="e">
        <f aca="false">VLOOKUP($C210,Curve_Fetch,2)+Cost_of_Funds</f>
        <v>#VALUE!</v>
      </c>
      <c r="AM210" s="210" t="e">
        <f aca="false">1/(1+AL210/2)^(2*(C210-Val_Date)/365.25)</f>
        <v>#VALUE!</v>
      </c>
      <c r="AO210" s="222" t="e">
        <f aca="false">$B210*$E210*$AM210</f>
        <v>#VALUE!</v>
      </c>
      <c r="AP210" s="222"/>
      <c r="AQ210" s="222" t="e">
        <f aca="false">H210*AO210</f>
        <v>#VALUE!</v>
      </c>
      <c r="AR210" s="222"/>
      <c r="AS210" s="174" t="e">
        <f aca="false">J210*$AO210</f>
        <v>#VALUE!</v>
      </c>
      <c r="AT210" s="174" t="e">
        <f aca="false">K210*$AO210</f>
        <v>#VALUE!</v>
      </c>
      <c r="AU210" s="174" t="e">
        <f aca="false">L210*$AO210</f>
        <v>#VALUE!</v>
      </c>
      <c r="AV210" s="174"/>
      <c r="AW210" s="174"/>
      <c r="AY210" s="220"/>
      <c r="AZ210" s="220"/>
      <c r="BA210" s="223"/>
      <c r="BC210" s="220"/>
      <c r="BE210" s="206"/>
    </row>
    <row r="211" customFormat="false" ht="12.75" hidden="false" customHeight="false" outlineLevel="0" collapsed="false">
      <c r="A211" s="167" t="e">
        <f aca="false">([1]!edate,A210,1)</f>
        <v>#VALUE!</v>
      </c>
      <c r="B211" s="201" t="e">
        <f aca="false">A212-A211</f>
        <v>#VALUE!</v>
      </c>
      <c r="C211" s="202" t="e">
        <f aca="false">IF(Control!$F$18="Physical",Model!A212+24,Model!A212)</f>
        <v>#VALUE!</v>
      </c>
      <c r="E211" s="203" t="e">
        <f aca="false">IF($A211&lt;End_Date,IF(Control!$C$20="Flat",Control!$C$21,VLOOKUP(Model!$A211,Euro!$B$29:$D$182,3)),0)</f>
        <v>#VALUE!</v>
      </c>
      <c r="F211" s="203" t="e">
        <f aca="false">E211*B211</f>
        <v>#VALUE!</v>
      </c>
      <c r="H211" s="204" t="e">
        <f aca="false">IF(Control!$C$27="Mid",VLOOKUP($A211,CurveFetch!$D$8:$F$367,3),VLOOKUP($A211,Euro!$B$29:$I$182,8))</f>
        <v>#VALUE!</v>
      </c>
      <c r="I211" s="204"/>
      <c r="J211" s="204" t="e">
        <f aca="false">IF($J$4="Mid",VLOOKUP($A211,Curve_Fetch,VLOOKUP(Control!$AJ$10,Control!$AI$11:$AK$22,3)),VLOOKUP($A211,Euro!$B$29:$M$182,12))</f>
        <v>#VALUE!</v>
      </c>
      <c r="K211" s="205" t="e">
        <f aca="false">IF(Control!$F$18="Physical",IF($K$4="Mid",VLOOKUP($A211,Curve_Fetch,VLOOKUP(Control!$AJ$10,Control!$AI$11:$AL$22,4)),VLOOKUP($A211,Euro!$B$29:$Q$182,16)),0)</f>
        <v>#VALUE!</v>
      </c>
      <c r="L211" s="204" t="e">
        <f aca="false">SUM(J211:K211)</f>
        <v>#VALUE!</v>
      </c>
      <c r="M211" s="204"/>
      <c r="N211" s="206" t="e">
        <f aca="false">L211+H211</f>
        <v>#VALUE!</v>
      </c>
      <c r="O211" s="206" t="e">
        <f aca="false">N211+Control!$C$39</f>
        <v>#VALUE!</v>
      </c>
      <c r="P211" s="207" t="e">
        <f aca="false">VLOOKUP($A211,CurveFetch!$D$8:$E$367,2)</f>
        <v>#VALUE!</v>
      </c>
      <c r="Q211" s="208" t="e">
        <f aca="false">P211</f>
        <v>#VALUE!</v>
      </c>
      <c r="R211" s="209" t="e">
        <f aca="true">A211-1-TODAY()</f>
        <v>#VALUE!</v>
      </c>
      <c r="S211" s="210" t="e">
        <f aca="false">VLOOKUP($A211,Curve_Fetch,VLOOKUP(Control!$AJ$10,Control!$AI$11:$AM$22,5))</f>
        <v>#VALUE!</v>
      </c>
      <c r="T211" s="211" t="e">
        <f aca="false">EURO(N211,O211,P211,Q211,S211,R211,IF(Control!$C$38="Call",1,0),0)</f>
        <v>#NAME?</v>
      </c>
      <c r="U211" s="174" t="e">
        <f aca="false">T211*B211*E211</f>
        <v>#VALUE!</v>
      </c>
      <c r="V211" s="212"/>
      <c r="W211" s="213"/>
      <c r="X211" s="213"/>
      <c r="Y211" s="213"/>
      <c r="AA211" s="214"/>
      <c r="AB211" s="214"/>
      <c r="AC211" s="215"/>
      <c r="AD211" s="216"/>
      <c r="AE211" s="217"/>
      <c r="AF211" s="218"/>
      <c r="AG211" s="219"/>
      <c r="AH211" s="220"/>
      <c r="AI211" s="174"/>
      <c r="AJ211" s="171" t="e">
        <f aca="false">Y211-L211</f>
        <v>#VALUE!</v>
      </c>
      <c r="AL211" s="208" t="e">
        <f aca="false">VLOOKUP($C211,Curve_Fetch,2)+Cost_of_Funds</f>
        <v>#VALUE!</v>
      </c>
      <c r="AM211" s="210" t="e">
        <f aca="false">1/(1+AL211/2)^(2*(C211-Val_Date)/365.25)</f>
        <v>#VALUE!</v>
      </c>
      <c r="AO211" s="222" t="e">
        <f aca="false">$B211*$E211*$AM211</f>
        <v>#VALUE!</v>
      </c>
      <c r="AP211" s="222"/>
      <c r="AQ211" s="222" t="e">
        <f aca="false">H211*AO211</f>
        <v>#VALUE!</v>
      </c>
      <c r="AR211" s="222"/>
      <c r="AS211" s="174" t="e">
        <f aca="false">J211*$AO211</f>
        <v>#VALUE!</v>
      </c>
      <c r="AT211" s="174" t="e">
        <f aca="false">K211*$AO211</f>
        <v>#VALUE!</v>
      </c>
      <c r="AU211" s="174" t="e">
        <f aca="false">L211*$AO211</f>
        <v>#VALUE!</v>
      </c>
      <c r="AV211" s="174"/>
      <c r="AW211" s="174"/>
      <c r="AY211" s="220"/>
      <c r="AZ211" s="220"/>
      <c r="BA211" s="223"/>
      <c r="BC211" s="220"/>
      <c r="BE211" s="206"/>
    </row>
    <row r="212" customFormat="false" ht="12.75" hidden="false" customHeight="false" outlineLevel="0" collapsed="false">
      <c r="A212" s="167" t="e">
        <f aca="false">([1]!edate,A211,1)</f>
        <v>#VALUE!</v>
      </c>
      <c r="B212" s="201" t="e">
        <f aca="false">A213-A212</f>
        <v>#VALUE!</v>
      </c>
      <c r="C212" s="202" t="e">
        <f aca="false">IF(Control!$F$18="Physical",Model!A213+24,Model!A213)</f>
        <v>#VALUE!</v>
      </c>
      <c r="E212" s="203" t="e">
        <f aca="false">IF($A212&lt;End_Date,IF(Control!$C$20="Flat",Control!$C$21,VLOOKUP(Model!$A212,Euro!$B$29:$D$182,3)),0)</f>
        <v>#VALUE!</v>
      </c>
      <c r="F212" s="203" t="e">
        <f aca="false">E212*B212</f>
        <v>#VALUE!</v>
      </c>
      <c r="H212" s="204" t="e">
        <f aca="false">IF(Control!$C$27="Mid",VLOOKUP($A212,CurveFetch!$D$8:$F$367,3),VLOOKUP($A212,Euro!$B$29:$I$182,8))</f>
        <v>#VALUE!</v>
      </c>
      <c r="I212" s="204"/>
      <c r="J212" s="204" t="e">
        <f aca="false">IF($J$4="Mid",VLOOKUP($A212,Curve_Fetch,VLOOKUP(Control!$AJ$10,Control!$AI$11:$AK$22,3)),VLOOKUP($A212,Euro!$B$29:$M$182,12))</f>
        <v>#VALUE!</v>
      </c>
      <c r="K212" s="205" t="e">
        <f aca="false">IF(Control!$F$18="Physical",IF($K$4="Mid",VLOOKUP($A212,Curve_Fetch,VLOOKUP(Control!$AJ$10,Control!$AI$11:$AL$22,4)),VLOOKUP($A212,Euro!$B$29:$Q$182,16)),0)</f>
        <v>#VALUE!</v>
      </c>
      <c r="L212" s="204" t="e">
        <f aca="false">SUM(J212:K212)</f>
        <v>#VALUE!</v>
      </c>
      <c r="M212" s="204"/>
      <c r="N212" s="206" t="e">
        <f aca="false">L212+H212</f>
        <v>#VALUE!</v>
      </c>
      <c r="O212" s="206" t="e">
        <f aca="false">N212+Control!$C$39</f>
        <v>#VALUE!</v>
      </c>
      <c r="P212" s="207" t="e">
        <f aca="false">VLOOKUP($A212,CurveFetch!$D$8:$E$367,2)</f>
        <v>#VALUE!</v>
      </c>
      <c r="Q212" s="208" t="e">
        <f aca="false">P212</f>
        <v>#VALUE!</v>
      </c>
      <c r="R212" s="209" t="e">
        <f aca="true">A212-1-TODAY()</f>
        <v>#VALUE!</v>
      </c>
      <c r="S212" s="210" t="e">
        <f aca="false">VLOOKUP($A212,Curve_Fetch,VLOOKUP(Control!$AJ$10,Control!$AI$11:$AM$22,5))</f>
        <v>#VALUE!</v>
      </c>
      <c r="T212" s="211" t="e">
        <f aca="false">EURO(N212,O212,P212,Q212,S212,R212,IF(Control!$C$38="Call",1,0),0)</f>
        <v>#NAME?</v>
      </c>
      <c r="U212" s="174" t="e">
        <f aca="false">T212*B212*E212</f>
        <v>#VALUE!</v>
      </c>
      <c r="V212" s="212"/>
      <c r="W212" s="213"/>
      <c r="X212" s="213"/>
      <c r="Y212" s="213"/>
      <c r="AA212" s="214"/>
      <c r="AB212" s="214"/>
      <c r="AC212" s="215"/>
      <c r="AD212" s="216"/>
      <c r="AE212" s="217"/>
      <c r="AF212" s="218"/>
      <c r="AG212" s="219"/>
      <c r="AH212" s="220"/>
      <c r="AI212" s="174"/>
      <c r="AJ212" s="171" t="e">
        <f aca="false">Y212-L212</f>
        <v>#VALUE!</v>
      </c>
      <c r="AL212" s="208" t="e">
        <f aca="false">VLOOKUP($C212,Curve_Fetch,2)+Cost_of_Funds</f>
        <v>#VALUE!</v>
      </c>
      <c r="AM212" s="210" t="e">
        <f aca="false">1/(1+AL212/2)^(2*(C212-Val_Date)/365.25)</f>
        <v>#VALUE!</v>
      </c>
      <c r="AO212" s="222" t="e">
        <f aca="false">$B212*$E212*$AM212</f>
        <v>#VALUE!</v>
      </c>
      <c r="AP212" s="222"/>
      <c r="AQ212" s="222" t="e">
        <f aca="false">H212*AO212</f>
        <v>#VALUE!</v>
      </c>
      <c r="AR212" s="222"/>
      <c r="AS212" s="174" t="e">
        <f aca="false">J212*$AO212</f>
        <v>#VALUE!</v>
      </c>
      <c r="AT212" s="174" t="e">
        <f aca="false">K212*$AO212</f>
        <v>#VALUE!</v>
      </c>
      <c r="AU212" s="174" t="e">
        <f aca="false">L212*$AO212</f>
        <v>#VALUE!</v>
      </c>
      <c r="AV212" s="174"/>
      <c r="AW212" s="174"/>
      <c r="AY212" s="220"/>
      <c r="AZ212" s="220"/>
      <c r="BA212" s="223"/>
      <c r="BC212" s="220"/>
      <c r="BE212" s="206"/>
    </row>
    <row r="213" customFormat="false" ht="12.75" hidden="false" customHeight="false" outlineLevel="0" collapsed="false">
      <c r="A213" s="167" t="e">
        <f aca="false">([1]!edate,A212,1)</f>
        <v>#VALUE!</v>
      </c>
      <c r="B213" s="201" t="e">
        <f aca="false">A214-A213</f>
        <v>#VALUE!</v>
      </c>
      <c r="C213" s="202" t="e">
        <f aca="false">IF(Control!$F$18="Physical",Model!A214+24,Model!A214)</f>
        <v>#VALUE!</v>
      </c>
      <c r="E213" s="203" t="e">
        <f aca="false">IF($A213&lt;End_Date,IF(Control!$C$20="Flat",Control!$C$21,VLOOKUP(Model!$A213,Euro!$B$29:$D$182,3)),0)</f>
        <v>#VALUE!</v>
      </c>
      <c r="F213" s="203" t="e">
        <f aca="false">E213*B213</f>
        <v>#VALUE!</v>
      </c>
      <c r="H213" s="204" t="e">
        <f aca="false">IF(Control!$C$27="Mid",VLOOKUP($A213,CurveFetch!$D$8:$F$367,3),VLOOKUP($A213,Euro!$B$29:$I$182,8))</f>
        <v>#VALUE!</v>
      </c>
      <c r="I213" s="204"/>
      <c r="J213" s="204" t="e">
        <f aca="false">IF($J$4="Mid",VLOOKUP($A213,Curve_Fetch,VLOOKUP(Control!$AJ$10,Control!$AI$11:$AK$22,3)),VLOOKUP($A213,Euro!$B$29:$M$182,12))</f>
        <v>#VALUE!</v>
      </c>
      <c r="K213" s="205" t="e">
        <f aca="false">IF(Control!$F$18="Physical",IF($K$4="Mid",VLOOKUP($A213,Curve_Fetch,VLOOKUP(Control!$AJ$10,Control!$AI$11:$AL$22,4)),VLOOKUP($A213,Euro!$B$29:$Q$182,16)),0)</f>
        <v>#VALUE!</v>
      </c>
      <c r="L213" s="204" t="e">
        <f aca="false">SUM(J213:K213)</f>
        <v>#VALUE!</v>
      </c>
      <c r="M213" s="204"/>
      <c r="N213" s="206" t="e">
        <f aca="false">L213+H213</f>
        <v>#VALUE!</v>
      </c>
      <c r="O213" s="206" t="e">
        <f aca="false">N213+Control!$C$39</f>
        <v>#VALUE!</v>
      </c>
      <c r="P213" s="207" t="e">
        <f aca="false">VLOOKUP($A213,CurveFetch!$D$8:$E$367,2)</f>
        <v>#VALUE!</v>
      </c>
      <c r="Q213" s="208" t="e">
        <f aca="false">P213</f>
        <v>#VALUE!</v>
      </c>
      <c r="R213" s="209" t="e">
        <f aca="true">A213-1-TODAY()</f>
        <v>#VALUE!</v>
      </c>
      <c r="S213" s="210" t="e">
        <f aca="false">VLOOKUP($A213,Curve_Fetch,VLOOKUP(Control!$AJ$10,Control!$AI$11:$AM$22,5))</f>
        <v>#VALUE!</v>
      </c>
      <c r="T213" s="211" t="e">
        <f aca="false">EURO(N213,O213,P213,Q213,S213,R213,IF(Control!$C$38="Call",1,0),0)</f>
        <v>#NAME?</v>
      </c>
      <c r="U213" s="174" t="e">
        <f aca="false">T213*B213*E213</f>
        <v>#VALUE!</v>
      </c>
      <c r="V213" s="212"/>
      <c r="W213" s="213"/>
      <c r="X213" s="213"/>
      <c r="Y213" s="213"/>
      <c r="AA213" s="214"/>
      <c r="AB213" s="214"/>
      <c r="AC213" s="215"/>
      <c r="AD213" s="216"/>
      <c r="AE213" s="217"/>
      <c r="AF213" s="218"/>
      <c r="AG213" s="219"/>
      <c r="AH213" s="220"/>
      <c r="AI213" s="174"/>
      <c r="AJ213" s="171" t="e">
        <f aca="false">Y213-L213</f>
        <v>#VALUE!</v>
      </c>
      <c r="AL213" s="208" t="e">
        <f aca="false">VLOOKUP($C213,Curve_Fetch,2)+Cost_of_Funds</f>
        <v>#VALUE!</v>
      </c>
      <c r="AM213" s="210" t="e">
        <f aca="false">1/(1+AL213/2)^(2*(C213-Val_Date)/365.25)</f>
        <v>#VALUE!</v>
      </c>
      <c r="AO213" s="222" t="e">
        <f aca="false">$B213*$E213*$AM213</f>
        <v>#VALUE!</v>
      </c>
      <c r="AP213" s="222"/>
      <c r="AQ213" s="222" t="e">
        <f aca="false">H213*AO213</f>
        <v>#VALUE!</v>
      </c>
      <c r="AR213" s="222"/>
      <c r="AS213" s="174" t="e">
        <f aca="false">J213*$AO213</f>
        <v>#VALUE!</v>
      </c>
      <c r="AT213" s="174" t="e">
        <f aca="false">K213*$AO213</f>
        <v>#VALUE!</v>
      </c>
      <c r="AU213" s="174" t="e">
        <f aca="false">L213*$AO213</f>
        <v>#VALUE!</v>
      </c>
      <c r="AV213" s="174"/>
      <c r="AW213" s="174"/>
      <c r="AY213" s="220"/>
      <c r="AZ213" s="220"/>
      <c r="BA213" s="223"/>
      <c r="BC213" s="220"/>
      <c r="BE213" s="206"/>
    </row>
    <row r="214" customFormat="false" ht="12.75" hidden="false" customHeight="false" outlineLevel="0" collapsed="false">
      <c r="A214" s="167" t="e">
        <f aca="false">([1]!edate,A213,1)</f>
        <v>#VALUE!</v>
      </c>
      <c r="B214" s="201" t="e">
        <f aca="false">A215-A214</f>
        <v>#VALUE!</v>
      </c>
      <c r="C214" s="202" t="e">
        <f aca="false">IF(Control!$F$18="Physical",Model!A215+24,Model!A215)</f>
        <v>#VALUE!</v>
      </c>
      <c r="E214" s="203" t="e">
        <f aca="false">IF($A214&lt;End_Date,IF(Control!$C$20="Flat",Control!$C$21,VLOOKUP(Model!$A214,Euro!$B$29:$D$182,3)),0)</f>
        <v>#VALUE!</v>
      </c>
      <c r="F214" s="203" t="e">
        <f aca="false">E214*B214</f>
        <v>#VALUE!</v>
      </c>
      <c r="H214" s="204" t="e">
        <f aca="false">IF(Control!$C$27="Mid",VLOOKUP($A214,CurveFetch!$D$8:$F$367,3),VLOOKUP($A214,Euro!$B$29:$I$182,8))</f>
        <v>#VALUE!</v>
      </c>
      <c r="I214" s="204"/>
      <c r="J214" s="204" t="e">
        <f aca="false">IF($J$4="Mid",VLOOKUP($A214,Curve_Fetch,VLOOKUP(Control!$AJ$10,Control!$AI$11:$AK$22,3)),VLOOKUP($A214,Euro!$B$29:$M$182,12))</f>
        <v>#VALUE!</v>
      </c>
      <c r="K214" s="205" t="e">
        <f aca="false">IF(Control!$F$18="Physical",IF($K$4="Mid",VLOOKUP($A214,Curve_Fetch,VLOOKUP(Control!$AJ$10,Control!$AI$11:$AL$22,4)),VLOOKUP($A214,Euro!$B$29:$Q$182,16)),0)</f>
        <v>#VALUE!</v>
      </c>
      <c r="L214" s="204" t="e">
        <f aca="false">SUM(J214:K214)</f>
        <v>#VALUE!</v>
      </c>
      <c r="M214" s="204"/>
      <c r="N214" s="206" t="e">
        <f aca="false">L214+H214</f>
        <v>#VALUE!</v>
      </c>
      <c r="O214" s="206" t="e">
        <f aca="false">N214+Control!$C$39</f>
        <v>#VALUE!</v>
      </c>
      <c r="P214" s="207" t="e">
        <f aca="false">VLOOKUP($A214,CurveFetch!$D$8:$E$367,2)</f>
        <v>#VALUE!</v>
      </c>
      <c r="Q214" s="208" t="e">
        <f aca="false">P214</f>
        <v>#VALUE!</v>
      </c>
      <c r="R214" s="209" t="e">
        <f aca="true">A214-1-TODAY()</f>
        <v>#VALUE!</v>
      </c>
      <c r="S214" s="210" t="e">
        <f aca="false">VLOOKUP($A214,Curve_Fetch,VLOOKUP(Control!$AJ$10,Control!$AI$11:$AM$22,5))</f>
        <v>#VALUE!</v>
      </c>
      <c r="T214" s="211" t="e">
        <f aca="false">EURO(N214,O214,P214,Q214,S214,R214,IF(Control!$C$38="Call",1,0),0)</f>
        <v>#NAME?</v>
      </c>
      <c r="U214" s="174" t="e">
        <f aca="false">T214*B214*E214</f>
        <v>#VALUE!</v>
      </c>
      <c r="V214" s="212"/>
      <c r="W214" s="213"/>
      <c r="X214" s="213"/>
      <c r="Y214" s="213"/>
      <c r="AA214" s="214"/>
      <c r="AB214" s="214"/>
      <c r="AC214" s="215"/>
      <c r="AD214" s="216"/>
      <c r="AE214" s="217"/>
      <c r="AF214" s="218"/>
      <c r="AG214" s="219"/>
      <c r="AH214" s="220"/>
      <c r="AI214" s="174"/>
      <c r="AJ214" s="171" t="e">
        <f aca="false">Y214-L214</f>
        <v>#VALUE!</v>
      </c>
      <c r="AL214" s="208" t="e">
        <f aca="false">VLOOKUP($C214,Curve_Fetch,2)+Cost_of_Funds</f>
        <v>#VALUE!</v>
      </c>
      <c r="AM214" s="210" t="e">
        <f aca="false">1/(1+AL214/2)^(2*(C214-Val_Date)/365.25)</f>
        <v>#VALUE!</v>
      </c>
      <c r="AO214" s="222" t="e">
        <f aca="false">$B214*$E214*$AM214</f>
        <v>#VALUE!</v>
      </c>
      <c r="AP214" s="222"/>
      <c r="AQ214" s="222" t="e">
        <f aca="false">H214*AO214</f>
        <v>#VALUE!</v>
      </c>
      <c r="AR214" s="222"/>
      <c r="AS214" s="174" t="e">
        <f aca="false">J214*$AO214</f>
        <v>#VALUE!</v>
      </c>
      <c r="AT214" s="174" t="e">
        <f aca="false">K214*$AO214</f>
        <v>#VALUE!</v>
      </c>
      <c r="AU214" s="174" t="e">
        <f aca="false">L214*$AO214</f>
        <v>#VALUE!</v>
      </c>
      <c r="AV214" s="174"/>
      <c r="AW214" s="174"/>
      <c r="AY214" s="220"/>
      <c r="AZ214" s="220"/>
      <c r="BA214" s="223"/>
      <c r="BC214" s="220"/>
      <c r="BE214" s="206"/>
    </row>
    <row r="215" customFormat="false" ht="12.75" hidden="false" customHeight="false" outlineLevel="0" collapsed="false">
      <c r="A215" s="167" t="e">
        <f aca="false">([1]!edate,A214,1)</f>
        <v>#VALUE!</v>
      </c>
      <c r="B215" s="201" t="e">
        <f aca="false">A216-A215</f>
        <v>#VALUE!</v>
      </c>
      <c r="C215" s="202" t="e">
        <f aca="false">IF(Control!$F$18="Physical",Model!A216+24,Model!A216)</f>
        <v>#VALUE!</v>
      </c>
      <c r="E215" s="203" t="e">
        <f aca="false">IF($A215&lt;End_Date,IF(Control!$C$20="Flat",Control!$C$21,VLOOKUP(Model!$A215,Euro!$B$29:$D$182,3)),0)</f>
        <v>#VALUE!</v>
      </c>
      <c r="F215" s="203" t="e">
        <f aca="false">E215*B215</f>
        <v>#VALUE!</v>
      </c>
      <c r="H215" s="204" t="e">
        <f aca="false">IF(Control!$C$27="Mid",VLOOKUP($A215,CurveFetch!$D$8:$F$367,3),VLOOKUP($A215,Euro!$B$29:$I$182,8))</f>
        <v>#VALUE!</v>
      </c>
      <c r="I215" s="204"/>
      <c r="J215" s="204" t="e">
        <f aca="false">IF($J$4="Mid",VLOOKUP($A215,Curve_Fetch,VLOOKUP(Control!$AJ$10,Control!$AI$11:$AK$22,3)),VLOOKUP($A215,Euro!$B$29:$M$182,12))</f>
        <v>#VALUE!</v>
      </c>
      <c r="K215" s="205" t="e">
        <f aca="false">IF(Control!$F$18="Physical",IF($K$4="Mid",VLOOKUP($A215,Curve_Fetch,VLOOKUP(Control!$AJ$10,Control!$AI$11:$AL$22,4)),VLOOKUP($A215,Euro!$B$29:$Q$182,16)),0)</f>
        <v>#VALUE!</v>
      </c>
      <c r="L215" s="204" t="e">
        <f aca="false">SUM(J215:K215)</f>
        <v>#VALUE!</v>
      </c>
      <c r="M215" s="204"/>
      <c r="N215" s="206" t="e">
        <f aca="false">L215+H215</f>
        <v>#VALUE!</v>
      </c>
      <c r="O215" s="206" t="e">
        <f aca="false">N215+Control!$C$39</f>
        <v>#VALUE!</v>
      </c>
      <c r="P215" s="207" t="e">
        <f aca="false">VLOOKUP($A215,CurveFetch!$D$8:$E$367,2)</f>
        <v>#VALUE!</v>
      </c>
      <c r="Q215" s="208" t="e">
        <f aca="false">P215</f>
        <v>#VALUE!</v>
      </c>
      <c r="R215" s="209" t="e">
        <f aca="true">A215-1-TODAY()</f>
        <v>#VALUE!</v>
      </c>
      <c r="S215" s="210" t="e">
        <f aca="false">VLOOKUP($A215,Curve_Fetch,VLOOKUP(Control!$AJ$10,Control!$AI$11:$AM$22,5))</f>
        <v>#VALUE!</v>
      </c>
      <c r="T215" s="211" t="e">
        <f aca="false">EURO(N215,O215,P215,Q215,S215,R215,IF(Control!$C$38="Call",1,0),0)</f>
        <v>#NAME?</v>
      </c>
      <c r="U215" s="174" t="e">
        <f aca="false">T215*B215*E215</f>
        <v>#VALUE!</v>
      </c>
      <c r="V215" s="212"/>
      <c r="W215" s="213"/>
      <c r="X215" s="213"/>
      <c r="Y215" s="213"/>
      <c r="AA215" s="214"/>
      <c r="AB215" s="214"/>
      <c r="AC215" s="215"/>
      <c r="AD215" s="216"/>
      <c r="AE215" s="217"/>
      <c r="AF215" s="218"/>
      <c r="AG215" s="219"/>
      <c r="AH215" s="220"/>
      <c r="AI215" s="174"/>
      <c r="AJ215" s="171" t="e">
        <f aca="false">Y215-L215</f>
        <v>#VALUE!</v>
      </c>
      <c r="AL215" s="208" t="e">
        <f aca="false">VLOOKUP($C215,Curve_Fetch,2)+Cost_of_Funds</f>
        <v>#VALUE!</v>
      </c>
      <c r="AM215" s="210" t="e">
        <f aca="false">1/(1+AL215/2)^(2*(C215-Val_Date)/365.25)</f>
        <v>#VALUE!</v>
      </c>
      <c r="AO215" s="222" t="e">
        <f aca="false">$B215*$E215*$AM215</f>
        <v>#VALUE!</v>
      </c>
      <c r="AP215" s="222"/>
      <c r="AQ215" s="222" t="e">
        <f aca="false">H215*AO215</f>
        <v>#VALUE!</v>
      </c>
      <c r="AR215" s="222"/>
      <c r="AS215" s="174" t="e">
        <f aca="false">J215*$AO215</f>
        <v>#VALUE!</v>
      </c>
      <c r="AT215" s="174" t="e">
        <f aca="false">K215*$AO215</f>
        <v>#VALUE!</v>
      </c>
      <c r="AU215" s="174" t="e">
        <f aca="false">L215*$AO215</f>
        <v>#VALUE!</v>
      </c>
      <c r="AV215" s="174"/>
      <c r="AW215" s="174"/>
      <c r="AY215" s="220"/>
      <c r="AZ215" s="220"/>
      <c r="BA215" s="223"/>
      <c r="BC215" s="220"/>
      <c r="BE215" s="206"/>
    </row>
    <row r="216" customFormat="false" ht="12.75" hidden="false" customHeight="false" outlineLevel="0" collapsed="false">
      <c r="A216" s="167" t="e">
        <f aca="false">([1]!edate,A215,1)</f>
        <v>#VALUE!</v>
      </c>
      <c r="B216" s="201" t="e">
        <f aca="false">A217-A216</f>
        <v>#VALUE!</v>
      </c>
      <c r="C216" s="202" t="e">
        <f aca="false">IF(Control!$F$18="Physical",Model!A217+24,Model!A217)</f>
        <v>#VALUE!</v>
      </c>
      <c r="E216" s="203" t="e">
        <f aca="false">IF($A216&lt;End_Date,IF(Control!$C$20="Flat",Control!$C$21,VLOOKUP(Model!$A216,Euro!$B$29:$D$182,3)),0)</f>
        <v>#VALUE!</v>
      </c>
      <c r="F216" s="203" t="e">
        <f aca="false">E216*B216</f>
        <v>#VALUE!</v>
      </c>
      <c r="H216" s="204" t="e">
        <f aca="false">IF(Control!$C$27="Mid",VLOOKUP($A216,CurveFetch!$D$8:$F$367,3),VLOOKUP($A216,Euro!$B$29:$I$182,8))</f>
        <v>#VALUE!</v>
      </c>
      <c r="I216" s="204"/>
      <c r="J216" s="204" t="e">
        <f aca="false">IF($J$4="Mid",VLOOKUP($A216,Curve_Fetch,VLOOKUP(Control!$AJ$10,Control!$AI$11:$AK$22,3)),VLOOKUP($A216,Euro!$B$29:$M$182,12))</f>
        <v>#VALUE!</v>
      </c>
      <c r="K216" s="205" t="e">
        <f aca="false">IF(Control!$F$18="Physical",IF($K$4="Mid",VLOOKUP($A216,Curve_Fetch,VLOOKUP(Control!$AJ$10,Control!$AI$11:$AL$22,4)),VLOOKUP($A216,Euro!$B$29:$Q$182,16)),0)</f>
        <v>#VALUE!</v>
      </c>
      <c r="L216" s="204" t="e">
        <f aca="false">SUM(J216:K216)</f>
        <v>#VALUE!</v>
      </c>
      <c r="M216" s="204"/>
      <c r="N216" s="206" t="e">
        <f aca="false">L216+H216</f>
        <v>#VALUE!</v>
      </c>
      <c r="O216" s="206" t="e">
        <f aca="false">N216+Control!$C$39</f>
        <v>#VALUE!</v>
      </c>
      <c r="P216" s="207" t="e">
        <f aca="false">VLOOKUP($A216,CurveFetch!$D$8:$E$367,2)</f>
        <v>#VALUE!</v>
      </c>
      <c r="Q216" s="208" t="e">
        <f aca="false">P216</f>
        <v>#VALUE!</v>
      </c>
      <c r="R216" s="209" t="e">
        <f aca="true">A216-1-TODAY()</f>
        <v>#VALUE!</v>
      </c>
      <c r="S216" s="210" t="e">
        <f aca="false">VLOOKUP($A216,Curve_Fetch,VLOOKUP(Control!$AJ$10,Control!$AI$11:$AM$22,5))</f>
        <v>#VALUE!</v>
      </c>
      <c r="T216" s="211" t="e">
        <f aca="false">EURO(N216,O216,P216,Q216,S216,R216,IF(Control!$C$38="Call",1,0),0)</f>
        <v>#NAME?</v>
      </c>
      <c r="U216" s="174" t="e">
        <f aca="false">T216*B216*E216</f>
        <v>#VALUE!</v>
      </c>
      <c r="V216" s="212"/>
      <c r="W216" s="213"/>
      <c r="X216" s="213"/>
      <c r="Y216" s="213"/>
      <c r="AA216" s="214"/>
      <c r="AB216" s="214"/>
      <c r="AC216" s="215"/>
      <c r="AD216" s="216"/>
      <c r="AE216" s="217"/>
      <c r="AF216" s="218"/>
      <c r="AG216" s="219"/>
      <c r="AH216" s="220"/>
      <c r="AI216" s="174"/>
      <c r="AJ216" s="171" t="e">
        <f aca="false">Y216-L216</f>
        <v>#VALUE!</v>
      </c>
      <c r="AL216" s="208" t="e">
        <f aca="false">VLOOKUP($C216,Curve_Fetch,2)+Cost_of_Funds</f>
        <v>#VALUE!</v>
      </c>
      <c r="AM216" s="210" t="e">
        <f aca="false">1/(1+AL216/2)^(2*(C216-Val_Date)/365.25)</f>
        <v>#VALUE!</v>
      </c>
      <c r="AO216" s="222" t="e">
        <f aca="false">$B216*$E216*$AM216</f>
        <v>#VALUE!</v>
      </c>
      <c r="AP216" s="222"/>
      <c r="AQ216" s="222" t="e">
        <f aca="false">H216*AO216</f>
        <v>#VALUE!</v>
      </c>
      <c r="AR216" s="222"/>
      <c r="AS216" s="174" t="e">
        <f aca="false">J216*$AO216</f>
        <v>#VALUE!</v>
      </c>
      <c r="AT216" s="174" t="e">
        <f aca="false">K216*$AO216</f>
        <v>#VALUE!</v>
      </c>
      <c r="AU216" s="174" t="e">
        <f aca="false">L216*$AO216</f>
        <v>#VALUE!</v>
      </c>
      <c r="AV216" s="174"/>
      <c r="AW216" s="174"/>
      <c r="AY216" s="220"/>
      <c r="AZ216" s="220"/>
      <c r="BA216" s="223"/>
      <c r="BC216" s="220"/>
      <c r="BE216" s="206"/>
    </row>
    <row r="217" customFormat="false" ht="12.75" hidden="false" customHeight="false" outlineLevel="0" collapsed="false">
      <c r="A217" s="167" t="e">
        <f aca="false">([1]!edate,A216,1)</f>
        <v>#VALUE!</v>
      </c>
      <c r="B217" s="201" t="e">
        <f aca="false">A218-A217</f>
        <v>#VALUE!</v>
      </c>
      <c r="C217" s="202" t="e">
        <f aca="false">IF(Control!$F$18="Physical",Model!A218+24,Model!A218)</f>
        <v>#VALUE!</v>
      </c>
      <c r="E217" s="203" t="e">
        <f aca="false">IF($A217&lt;End_Date,IF(Control!$C$20="Flat",Control!$C$21,VLOOKUP(Model!$A217,Euro!$B$29:$D$182,3)),0)</f>
        <v>#VALUE!</v>
      </c>
      <c r="F217" s="203" t="e">
        <f aca="false">E217*B217</f>
        <v>#VALUE!</v>
      </c>
      <c r="H217" s="204" t="e">
        <f aca="false">IF(Control!$C$27="Mid",VLOOKUP($A217,CurveFetch!$D$8:$F$367,3),VLOOKUP($A217,Euro!$B$29:$I$182,8))</f>
        <v>#VALUE!</v>
      </c>
      <c r="I217" s="204"/>
      <c r="J217" s="204" t="e">
        <f aca="false">IF($J$4="Mid",VLOOKUP($A217,Curve_Fetch,VLOOKUP(Control!$AJ$10,Control!$AI$11:$AK$22,3)),VLOOKUP($A217,Euro!$B$29:$M$182,12))</f>
        <v>#VALUE!</v>
      </c>
      <c r="K217" s="205" t="e">
        <f aca="false">IF(Control!$F$18="Physical",IF($K$4="Mid",VLOOKUP($A217,Curve_Fetch,VLOOKUP(Control!$AJ$10,Control!$AI$11:$AL$22,4)),VLOOKUP($A217,Euro!$B$29:$Q$182,16)),0)</f>
        <v>#VALUE!</v>
      </c>
      <c r="L217" s="204" t="e">
        <f aca="false">SUM(J217:K217)</f>
        <v>#VALUE!</v>
      </c>
      <c r="M217" s="204"/>
      <c r="N217" s="206" t="e">
        <f aca="false">L217+H217</f>
        <v>#VALUE!</v>
      </c>
      <c r="O217" s="206" t="e">
        <f aca="false">N217+Control!$C$39</f>
        <v>#VALUE!</v>
      </c>
      <c r="P217" s="207" t="e">
        <f aca="false">VLOOKUP($A217,CurveFetch!$D$8:$E$367,2)</f>
        <v>#VALUE!</v>
      </c>
      <c r="Q217" s="208" t="e">
        <f aca="false">P217</f>
        <v>#VALUE!</v>
      </c>
      <c r="R217" s="209" t="e">
        <f aca="true">A217-1-TODAY()</f>
        <v>#VALUE!</v>
      </c>
      <c r="S217" s="210" t="e">
        <f aca="false">VLOOKUP($A217,Curve_Fetch,VLOOKUP(Control!$AJ$10,Control!$AI$11:$AM$22,5))</f>
        <v>#VALUE!</v>
      </c>
      <c r="T217" s="211" t="e">
        <f aca="false">EURO(N217,O217,P217,Q217,S217,R217,IF(Control!$C$38="Call",1,0),0)</f>
        <v>#NAME?</v>
      </c>
      <c r="U217" s="174" t="e">
        <f aca="false">T217*B217*E217</f>
        <v>#VALUE!</v>
      </c>
      <c r="V217" s="212"/>
      <c r="W217" s="213"/>
      <c r="X217" s="213"/>
      <c r="Y217" s="213"/>
      <c r="AA217" s="214"/>
      <c r="AB217" s="214"/>
      <c r="AC217" s="215"/>
      <c r="AD217" s="216"/>
      <c r="AE217" s="217"/>
      <c r="AF217" s="218"/>
      <c r="AG217" s="219"/>
      <c r="AH217" s="220"/>
      <c r="AI217" s="174"/>
      <c r="AJ217" s="171" t="e">
        <f aca="false">Y217-L217</f>
        <v>#VALUE!</v>
      </c>
      <c r="AL217" s="208" t="e">
        <f aca="false">VLOOKUP($C217,Curve_Fetch,2)+Cost_of_Funds</f>
        <v>#VALUE!</v>
      </c>
      <c r="AM217" s="210" t="e">
        <f aca="false">1/(1+AL217/2)^(2*(C217-Val_Date)/365.25)</f>
        <v>#VALUE!</v>
      </c>
      <c r="AO217" s="222" t="e">
        <f aca="false">$B217*$E217*$AM217</f>
        <v>#VALUE!</v>
      </c>
      <c r="AP217" s="222"/>
      <c r="AQ217" s="222" t="e">
        <f aca="false">H217*AO217</f>
        <v>#VALUE!</v>
      </c>
      <c r="AR217" s="222"/>
      <c r="AS217" s="174" t="e">
        <f aca="false">J217*$AO217</f>
        <v>#VALUE!</v>
      </c>
      <c r="AT217" s="174" t="e">
        <f aca="false">K217*$AO217</f>
        <v>#VALUE!</v>
      </c>
      <c r="AU217" s="174" t="e">
        <f aca="false">L217*$AO217</f>
        <v>#VALUE!</v>
      </c>
      <c r="AV217" s="174"/>
      <c r="AW217" s="174"/>
      <c r="AY217" s="220"/>
      <c r="AZ217" s="220"/>
      <c r="BA217" s="223"/>
      <c r="BC217" s="220"/>
      <c r="BE217" s="206"/>
    </row>
    <row r="218" customFormat="false" ht="12.75" hidden="false" customHeight="false" outlineLevel="0" collapsed="false">
      <c r="A218" s="167" t="e">
        <f aca="false">([1]!edate,A217,1)</f>
        <v>#VALUE!</v>
      </c>
      <c r="B218" s="201" t="e">
        <f aca="false">A219-A218</f>
        <v>#VALUE!</v>
      </c>
      <c r="C218" s="202" t="e">
        <f aca="false">IF(Control!$F$18="Physical",Model!A219+24,Model!A219)</f>
        <v>#VALUE!</v>
      </c>
      <c r="E218" s="203" t="e">
        <f aca="false">IF($A218&lt;End_Date,IF(Control!$C$20="Flat",Control!$C$21,VLOOKUP(Model!$A218,Euro!$B$29:$D$182,3)),0)</f>
        <v>#VALUE!</v>
      </c>
      <c r="F218" s="203" t="e">
        <f aca="false">E218*B218</f>
        <v>#VALUE!</v>
      </c>
      <c r="H218" s="204" t="e">
        <f aca="false">IF(Control!$C$27="Mid",VLOOKUP($A218,CurveFetch!$D$8:$F$367,3),VLOOKUP($A218,Euro!$B$29:$I$182,8))</f>
        <v>#VALUE!</v>
      </c>
      <c r="I218" s="204"/>
      <c r="J218" s="204" t="e">
        <f aca="false">IF($J$4="Mid",VLOOKUP($A218,Curve_Fetch,VLOOKUP(Control!$AJ$10,Control!$AI$11:$AK$22,3)),VLOOKUP($A218,Euro!$B$29:$M$182,12))</f>
        <v>#VALUE!</v>
      </c>
      <c r="K218" s="205" t="e">
        <f aca="false">IF(Control!$F$18="Physical",IF($K$4="Mid",VLOOKUP($A218,Curve_Fetch,VLOOKUP(Control!$AJ$10,Control!$AI$11:$AL$22,4)),VLOOKUP($A218,Euro!$B$29:$Q$182,16)),0)</f>
        <v>#VALUE!</v>
      </c>
      <c r="L218" s="204" t="e">
        <f aca="false">SUM(J218:K218)</f>
        <v>#VALUE!</v>
      </c>
      <c r="M218" s="204"/>
      <c r="N218" s="206" t="e">
        <f aca="false">L218+H218</f>
        <v>#VALUE!</v>
      </c>
      <c r="O218" s="206" t="e">
        <f aca="false">N218+Control!$C$39</f>
        <v>#VALUE!</v>
      </c>
      <c r="P218" s="207" t="e">
        <f aca="false">VLOOKUP($A218,CurveFetch!$D$8:$E$367,2)</f>
        <v>#VALUE!</v>
      </c>
      <c r="Q218" s="208" t="e">
        <f aca="false">P218</f>
        <v>#VALUE!</v>
      </c>
      <c r="R218" s="209" t="e">
        <f aca="true">A218-1-TODAY()</f>
        <v>#VALUE!</v>
      </c>
      <c r="S218" s="210" t="e">
        <f aca="false">VLOOKUP($A218,Curve_Fetch,VLOOKUP(Control!$AJ$10,Control!$AI$11:$AM$22,5))</f>
        <v>#VALUE!</v>
      </c>
      <c r="T218" s="211" t="e">
        <f aca="false">EURO(N218,O218,P218,Q218,S218,R218,IF(Control!$C$38="Call",1,0),0)</f>
        <v>#NAME?</v>
      </c>
      <c r="U218" s="174" t="e">
        <f aca="false">T218*B218*E218</f>
        <v>#VALUE!</v>
      </c>
      <c r="V218" s="212"/>
      <c r="W218" s="213"/>
      <c r="X218" s="213"/>
      <c r="Y218" s="213"/>
      <c r="AA218" s="214"/>
      <c r="AB218" s="214"/>
      <c r="AC218" s="215"/>
      <c r="AD218" s="216"/>
      <c r="AE218" s="217"/>
      <c r="AF218" s="218"/>
      <c r="AG218" s="219"/>
      <c r="AH218" s="220"/>
      <c r="AI218" s="174"/>
      <c r="AJ218" s="171" t="e">
        <f aca="false">Y218-L218</f>
        <v>#VALUE!</v>
      </c>
      <c r="AL218" s="208" t="e">
        <f aca="false">VLOOKUP($C218,Curve_Fetch,2)+Cost_of_Funds</f>
        <v>#VALUE!</v>
      </c>
      <c r="AM218" s="210" t="e">
        <f aca="false">1/(1+AL218/2)^(2*(C218-Val_Date)/365.25)</f>
        <v>#VALUE!</v>
      </c>
      <c r="AO218" s="222" t="e">
        <f aca="false">$B218*$E218*$AM218</f>
        <v>#VALUE!</v>
      </c>
      <c r="AP218" s="222"/>
      <c r="AQ218" s="222" t="e">
        <f aca="false">H218*AO218</f>
        <v>#VALUE!</v>
      </c>
      <c r="AR218" s="222"/>
      <c r="AS218" s="174" t="e">
        <f aca="false">J218*$AO218</f>
        <v>#VALUE!</v>
      </c>
      <c r="AT218" s="174" t="e">
        <f aca="false">K218*$AO218</f>
        <v>#VALUE!</v>
      </c>
      <c r="AU218" s="174" t="e">
        <f aca="false">L218*$AO218</f>
        <v>#VALUE!</v>
      </c>
      <c r="AV218" s="174"/>
      <c r="AW218" s="174"/>
      <c r="AY218" s="220"/>
      <c r="AZ218" s="220"/>
      <c r="BA218" s="223"/>
      <c r="BC218" s="220"/>
      <c r="BE218" s="206"/>
    </row>
    <row r="219" customFormat="false" ht="12.75" hidden="false" customHeight="false" outlineLevel="0" collapsed="false">
      <c r="A219" s="167" t="e">
        <f aca="false">([1]!edate,A218,1)</f>
        <v>#VALUE!</v>
      </c>
      <c r="B219" s="201" t="e">
        <f aca="false">A220-A219</f>
        <v>#VALUE!</v>
      </c>
      <c r="C219" s="202" t="e">
        <f aca="false">IF(Control!$F$18="Physical",Model!A220+24,Model!A220)</f>
        <v>#VALUE!</v>
      </c>
      <c r="E219" s="203" t="e">
        <f aca="false">IF($A219&lt;End_Date,IF(Control!$C$20="Flat",Control!$C$21,VLOOKUP(Model!$A219,Euro!$B$29:$D$182,3)),0)</f>
        <v>#VALUE!</v>
      </c>
      <c r="F219" s="203" t="e">
        <f aca="false">E219*B219</f>
        <v>#VALUE!</v>
      </c>
      <c r="H219" s="204" t="e">
        <f aca="false">IF(Control!$C$27="Mid",VLOOKUP($A219,CurveFetch!$D$8:$F$367,3),VLOOKUP($A219,Euro!$B$29:$I$182,8))</f>
        <v>#VALUE!</v>
      </c>
      <c r="I219" s="204"/>
      <c r="J219" s="204" t="e">
        <f aca="false">IF($J$4="Mid",VLOOKUP($A219,Curve_Fetch,VLOOKUP(Control!$AJ$10,Control!$AI$11:$AK$22,3)),VLOOKUP($A219,Euro!$B$29:$M$182,12))</f>
        <v>#VALUE!</v>
      </c>
      <c r="K219" s="205" t="e">
        <f aca="false">IF(Control!$F$18="Physical",IF($K$4="Mid",VLOOKUP($A219,Curve_Fetch,VLOOKUP(Control!$AJ$10,Control!$AI$11:$AL$22,4)),VLOOKUP($A219,Euro!$B$29:$Q$182,16)),0)</f>
        <v>#VALUE!</v>
      </c>
      <c r="L219" s="204" t="e">
        <f aca="false">SUM(J219:K219)</f>
        <v>#VALUE!</v>
      </c>
      <c r="M219" s="204"/>
      <c r="N219" s="206" t="e">
        <f aca="false">L219+H219</f>
        <v>#VALUE!</v>
      </c>
      <c r="O219" s="206" t="e">
        <f aca="false">N219+Control!$C$39</f>
        <v>#VALUE!</v>
      </c>
      <c r="P219" s="207" t="e">
        <f aca="false">VLOOKUP($A219,CurveFetch!$D$8:$E$367,2)</f>
        <v>#VALUE!</v>
      </c>
      <c r="Q219" s="208" t="e">
        <f aca="false">P219</f>
        <v>#VALUE!</v>
      </c>
      <c r="R219" s="209" t="e">
        <f aca="true">A219-1-TODAY()</f>
        <v>#VALUE!</v>
      </c>
      <c r="S219" s="210" t="e">
        <f aca="false">VLOOKUP($A219,Curve_Fetch,VLOOKUP(Control!$AJ$10,Control!$AI$11:$AM$22,5))</f>
        <v>#VALUE!</v>
      </c>
      <c r="T219" s="211" t="e">
        <f aca="false">EURO(N219,O219,P219,Q219,S219,R219,IF(Control!$C$38="Call",1,0),0)</f>
        <v>#NAME?</v>
      </c>
      <c r="U219" s="174" t="e">
        <f aca="false">T219*B219*E219</f>
        <v>#VALUE!</v>
      </c>
      <c r="V219" s="212"/>
      <c r="W219" s="213"/>
      <c r="X219" s="213"/>
      <c r="Y219" s="213"/>
      <c r="AA219" s="214"/>
      <c r="AB219" s="214"/>
      <c r="AC219" s="215"/>
      <c r="AD219" s="216"/>
      <c r="AE219" s="217"/>
      <c r="AF219" s="218"/>
      <c r="AG219" s="219"/>
      <c r="AH219" s="220"/>
      <c r="AI219" s="174"/>
      <c r="AJ219" s="171" t="e">
        <f aca="false">Y219-L219</f>
        <v>#VALUE!</v>
      </c>
      <c r="AL219" s="208" t="e">
        <f aca="false">VLOOKUP($C219,Curve_Fetch,2)+Cost_of_Funds</f>
        <v>#VALUE!</v>
      </c>
      <c r="AM219" s="210" t="e">
        <f aca="false">1/(1+AL219/2)^(2*(C219-Val_Date)/365.25)</f>
        <v>#VALUE!</v>
      </c>
      <c r="AO219" s="222" t="e">
        <f aca="false">$B219*$E219*$AM219</f>
        <v>#VALUE!</v>
      </c>
      <c r="AP219" s="222"/>
      <c r="AQ219" s="222" t="e">
        <f aca="false">H219*AO219</f>
        <v>#VALUE!</v>
      </c>
      <c r="AR219" s="222"/>
      <c r="AS219" s="174" t="e">
        <f aca="false">J219*$AO219</f>
        <v>#VALUE!</v>
      </c>
      <c r="AT219" s="174" t="e">
        <f aca="false">K219*$AO219</f>
        <v>#VALUE!</v>
      </c>
      <c r="AU219" s="174" t="e">
        <f aca="false">L219*$AO219</f>
        <v>#VALUE!</v>
      </c>
      <c r="AV219" s="174"/>
      <c r="AW219" s="174"/>
      <c r="AY219" s="220"/>
      <c r="AZ219" s="220"/>
      <c r="BA219" s="223"/>
      <c r="BC219" s="220"/>
      <c r="BE219" s="206"/>
    </row>
    <row r="220" customFormat="false" ht="12.75" hidden="false" customHeight="false" outlineLevel="0" collapsed="false">
      <c r="A220" s="167" t="e">
        <f aca="false">([1]!edate,A219,1)</f>
        <v>#VALUE!</v>
      </c>
      <c r="B220" s="201" t="e">
        <f aca="false">A221-A220</f>
        <v>#VALUE!</v>
      </c>
      <c r="C220" s="202" t="e">
        <f aca="false">IF(Control!$F$18="Physical",Model!A221+24,Model!A221)</f>
        <v>#VALUE!</v>
      </c>
      <c r="E220" s="203" t="e">
        <f aca="false">IF($A220&lt;End_Date,IF(Control!$C$20="Flat",Control!$C$21,VLOOKUP(Model!$A220,Euro!$B$29:$D$182,3)),0)</f>
        <v>#VALUE!</v>
      </c>
      <c r="F220" s="203" t="e">
        <f aca="false">E220*B220</f>
        <v>#VALUE!</v>
      </c>
      <c r="H220" s="204" t="e">
        <f aca="false">IF(Control!$C$27="Mid",VLOOKUP($A220,CurveFetch!$D$8:$F$367,3),VLOOKUP($A220,Euro!$B$29:$I$182,8))</f>
        <v>#VALUE!</v>
      </c>
      <c r="I220" s="204"/>
      <c r="J220" s="204" t="e">
        <f aca="false">IF($J$4="Mid",VLOOKUP($A220,Curve_Fetch,VLOOKUP(Control!$AJ$10,Control!$AI$11:$AK$22,3)),VLOOKUP($A220,Euro!$B$29:$M$182,12))</f>
        <v>#VALUE!</v>
      </c>
      <c r="K220" s="205" t="e">
        <f aca="false">IF(Control!$F$18="Physical",IF($K$4="Mid",VLOOKUP($A220,Curve_Fetch,VLOOKUP(Control!$AJ$10,Control!$AI$11:$AL$22,4)),VLOOKUP($A220,Euro!$B$29:$Q$182,16)),0)</f>
        <v>#VALUE!</v>
      </c>
      <c r="L220" s="204" t="e">
        <f aca="false">SUM(J220:K220)</f>
        <v>#VALUE!</v>
      </c>
      <c r="M220" s="204"/>
      <c r="N220" s="206" t="e">
        <f aca="false">L220+H220</f>
        <v>#VALUE!</v>
      </c>
      <c r="O220" s="206" t="e">
        <f aca="false">N220+Control!$C$39</f>
        <v>#VALUE!</v>
      </c>
      <c r="P220" s="207" t="e">
        <f aca="false">VLOOKUP($A220,CurveFetch!$D$8:$E$367,2)</f>
        <v>#VALUE!</v>
      </c>
      <c r="Q220" s="208" t="e">
        <f aca="false">P220</f>
        <v>#VALUE!</v>
      </c>
      <c r="R220" s="209" t="e">
        <f aca="true">A220-1-TODAY()</f>
        <v>#VALUE!</v>
      </c>
      <c r="S220" s="210" t="e">
        <f aca="false">VLOOKUP($A220,Curve_Fetch,VLOOKUP(Control!$AJ$10,Control!$AI$11:$AM$22,5))</f>
        <v>#VALUE!</v>
      </c>
      <c r="T220" s="211" t="e">
        <f aca="false">EURO(N220,O220,P220,Q220,S220,R220,IF(Control!$C$38="Call",1,0),0)</f>
        <v>#NAME?</v>
      </c>
      <c r="U220" s="174" t="e">
        <f aca="false">T220*B220*E220</f>
        <v>#VALUE!</v>
      </c>
      <c r="V220" s="212"/>
      <c r="W220" s="213"/>
      <c r="X220" s="213"/>
      <c r="Y220" s="213"/>
      <c r="AA220" s="214"/>
      <c r="AB220" s="214"/>
      <c r="AC220" s="215"/>
      <c r="AD220" s="216"/>
      <c r="AE220" s="217"/>
      <c r="AF220" s="218"/>
      <c r="AG220" s="219"/>
      <c r="AH220" s="220"/>
      <c r="AI220" s="174"/>
      <c r="AJ220" s="171" t="e">
        <f aca="false">Y220-L220</f>
        <v>#VALUE!</v>
      </c>
      <c r="AL220" s="208" t="e">
        <f aca="false">VLOOKUP($C220,Curve_Fetch,2)+Cost_of_Funds</f>
        <v>#VALUE!</v>
      </c>
      <c r="AM220" s="210" t="e">
        <f aca="false">1/(1+AL220/2)^(2*(C220-Val_Date)/365.25)</f>
        <v>#VALUE!</v>
      </c>
      <c r="AO220" s="222" t="e">
        <f aca="false">$B220*$E220*$AM220</f>
        <v>#VALUE!</v>
      </c>
      <c r="AP220" s="222"/>
      <c r="AQ220" s="222" t="e">
        <f aca="false">H220*AO220</f>
        <v>#VALUE!</v>
      </c>
      <c r="AR220" s="222"/>
      <c r="AS220" s="174" t="e">
        <f aca="false">J220*$AO220</f>
        <v>#VALUE!</v>
      </c>
      <c r="AT220" s="174" t="e">
        <f aca="false">K220*$AO220</f>
        <v>#VALUE!</v>
      </c>
      <c r="AU220" s="174" t="e">
        <f aca="false">L220*$AO220</f>
        <v>#VALUE!</v>
      </c>
      <c r="AV220" s="174"/>
      <c r="AW220" s="174"/>
      <c r="AY220" s="220"/>
      <c r="AZ220" s="220"/>
      <c r="BA220" s="223"/>
      <c r="BC220" s="220"/>
      <c r="BE220" s="206"/>
    </row>
    <row r="221" customFormat="false" ht="12.75" hidden="false" customHeight="false" outlineLevel="0" collapsed="false">
      <c r="A221" s="167" t="e">
        <f aca="false">([1]!edate,A220,1)</f>
        <v>#VALUE!</v>
      </c>
      <c r="B221" s="201" t="e">
        <f aca="false">A222-A221</f>
        <v>#VALUE!</v>
      </c>
      <c r="C221" s="202" t="e">
        <f aca="false">IF(Control!$F$18="Physical",Model!A222+24,Model!A222)</f>
        <v>#VALUE!</v>
      </c>
      <c r="E221" s="203" t="e">
        <f aca="false">IF($A221&lt;End_Date,IF(Control!$C$20="Flat",Control!$C$21,VLOOKUP(Model!$A221,Euro!$B$29:$D$182,3)),0)</f>
        <v>#VALUE!</v>
      </c>
      <c r="F221" s="203" t="e">
        <f aca="false">E221*B221</f>
        <v>#VALUE!</v>
      </c>
      <c r="H221" s="204" t="e">
        <f aca="false">IF(Control!$C$27="Mid",VLOOKUP($A221,CurveFetch!$D$8:$F$367,3),VLOOKUP($A221,Euro!$B$29:$I$182,8))</f>
        <v>#VALUE!</v>
      </c>
      <c r="I221" s="204"/>
      <c r="J221" s="204" t="e">
        <f aca="false">IF($J$4="Mid",VLOOKUP($A221,Curve_Fetch,VLOOKUP(Control!$AJ$10,Control!$AI$11:$AK$22,3)),VLOOKUP($A221,Euro!$B$29:$M$182,12))</f>
        <v>#VALUE!</v>
      </c>
      <c r="K221" s="205" t="e">
        <f aca="false">IF(Control!$F$18="Physical",IF($K$4="Mid",VLOOKUP($A221,Curve_Fetch,VLOOKUP(Control!$AJ$10,Control!$AI$11:$AL$22,4)),VLOOKUP($A221,Euro!$B$29:$Q$182,16)),0)</f>
        <v>#VALUE!</v>
      </c>
      <c r="L221" s="204" t="e">
        <f aca="false">SUM(J221:K221)</f>
        <v>#VALUE!</v>
      </c>
      <c r="M221" s="204"/>
      <c r="N221" s="206" t="e">
        <f aca="false">L221+H221</f>
        <v>#VALUE!</v>
      </c>
      <c r="O221" s="206" t="e">
        <f aca="false">N221+Control!$C$39</f>
        <v>#VALUE!</v>
      </c>
      <c r="P221" s="207" t="e">
        <f aca="false">VLOOKUP($A221,CurveFetch!$D$8:$E$367,2)</f>
        <v>#VALUE!</v>
      </c>
      <c r="Q221" s="208" t="e">
        <f aca="false">P221</f>
        <v>#VALUE!</v>
      </c>
      <c r="R221" s="209" t="e">
        <f aca="true">A221-1-TODAY()</f>
        <v>#VALUE!</v>
      </c>
      <c r="S221" s="210" t="e">
        <f aca="false">VLOOKUP($A221,Curve_Fetch,VLOOKUP(Control!$AJ$10,Control!$AI$11:$AM$22,5))</f>
        <v>#VALUE!</v>
      </c>
      <c r="T221" s="211" t="e">
        <f aca="false">EURO(N221,O221,P221,Q221,S221,R221,IF(Control!$C$38="Call",1,0),0)</f>
        <v>#NAME?</v>
      </c>
      <c r="U221" s="174" t="e">
        <f aca="false">T221*B221*E221</f>
        <v>#VALUE!</v>
      </c>
      <c r="V221" s="212"/>
      <c r="W221" s="213"/>
      <c r="X221" s="213"/>
      <c r="Y221" s="213"/>
      <c r="AA221" s="214"/>
      <c r="AB221" s="214"/>
      <c r="AC221" s="215"/>
      <c r="AD221" s="216"/>
      <c r="AE221" s="217"/>
      <c r="AF221" s="218"/>
      <c r="AG221" s="219"/>
      <c r="AH221" s="220"/>
      <c r="AI221" s="174"/>
      <c r="AJ221" s="171" t="e">
        <f aca="false">Y221-L221</f>
        <v>#VALUE!</v>
      </c>
      <c r="AL221" s="208" t="e">
        <f aca="false">VLOOKUP($C221,Curve_Fetch,2)+Cost_of_Funds</f>
        <v>#VALUE!</v>
      </c>
      <c r="AM221" s="210" t="e">
        <f aca="false">1/(1+AL221/2)^(2*(C221-Val_Date)/365.25)</f>
        <v>#VALUE!</v>
      </c>
      <c r="AO221" s="222" t="e">
        <f aca="false">$B221*$E221*$AM221</f>
        <v>#VALUE!</v>
      </c>
      <c r="AP221" s="222"/>
      <c r="AQ221" s="222" t="e">
        <f aca="false">H221*AO221</f>
        <v>#VALUE!</v>
      </c>
      <c r="AR221" s="222"/>
      <c r="AS221" s="174" t="e">
        <f aca="false">J221*$AO221</f>
        <v>#VALUE!</v>
      </c>
      <c r="AT221" s="174" t="e">
        <f aca="false">K221*$AO221</f>
        <v>#VALUE!</v>
      </c>
      <c r="AU221" s="174" t="e">
        <f aca="false">L221*$AO221</f>
        <v>#VALUE!</v>
      </c>
      <c r="AV221" s="174"/>
      <c r="AW221" s="174"/>
      <c r="AY221" s="220"/>
      <c r="AZ221" s="220"/>
      <c r="BA221" s="223"/>
      <c r="BC221" s="220"/>
      <c r="BE221" s="206"/>
    </row>
    <row r="222" customFormat="false" ht="12.75" hidden="false" customHeight="false" outlineLevel="0" collapsed="false">
      <c r="A222" s="167" t="e">
        <f aca="false">([1]!edate,A221,1)</f>
        <v>#VALUE!</v>
      </c>
      <c r="B222" s="201" t="e">
        <f aca="false">A223-A222</f>
        <v>#VALUE!</v>
      </c>
      <c r="C222" s="202" t="e">
        <f aca="false">IF(Control!$F$18="Physical",Model!A223+24,Model!A223)</f>
        <v>#VALUE!</v>
      </c>
      <c r="E222" s="203" t="e">
        <f aca="false">IF($A222&lt;End_Date,IF(Control!$C$20="Flat",Control!$C$21,VLOOKUP(Model!$A222,Euro!$B$29:$D$182,3)),0)</f>
        <v>#VALUE!</v>
      </c>
      <c r="F222" s="203" t="e">
        <f aca="false">E222*B222</f>
        <v>#VALUE!</v>
      </c>
      <c r="H222" s="204" t="e">
        <f aca="false">IF(Control!$C$27="Mid",VLOOKUP($A222,CurveFetch!$D$8:$F$367,3),VLOOKUP($A222,Euro!$B$29:$I$182,8))</f>
        <v>#VALUE!</v>
      </c>
      <c r="I222" s="204"/>
      <c r="J222" s="204" t="e">
        <f aca="false">IF($J$4="Mid",VLOOKUP($A222,Curve_Fetch,VLOOKUP(Control!$AJ$10,Control!$AI$11:$AK$22,3)),VLOOKUP($A222,Euro!$B$29:$M$182,12))</f>
        <v>#VALUE!</v>
      </c>
      <c r="K222" s="205" t="e">
        <f aca="false">IF(Control!$F$18="Physical",IF($K$4="Mid",VLOOKUP($A222,Curve_Fetch,VLOOKUP(Control!$AJ$10,Control!$AI$11:$AL$22,4)),VLOOKUP($A222,Euro!$B$29:$Q$182,16)),0)</f>
        <v>#VALUE!</v>
      </c>
      <c r="L222" s="204" t="e">
        <f aca="false">SUM(J222:K222)</f>
        <v>#VALUE!</v>
      </c>
      <c r="M222" s="204"/>
      <c r="N222" s="206" t="e">
        <f aca="false">L222+H222</f>
        <v>#VALUE!</v>
      </c>
      <c r="O222" s="206" t="e">
        <f aca="false">N222+Control!$C$39</f>
        <v>#VALUE!</v>
      </c>
      <c r="P222" s="207" t="e">
        <f aca="false">VLOOKUP($A222,CurveFetch!$D$8:$E$367,2)</f>
        <v>#VALUE!</v>
      </c>
      <c r="Q222" s="208" t="e">
        <f aca="false">P222</f>
        <v>#VALUE!</v>
      </c>
      <c r="R222" s="209" t="e">
        <f aca="true">A222-1-TODAY()</f>
        <v>#VALUE!</v>
      </c>
      <c r="S222" s="210" t="e">
        <f aca="false">VLOOKUP($A222,Curve_Fetch,VLOOKUP(Control!$AJ$10,Control!$AI$11:$AM$22,5))</f>
        <v>#VALUE!</v>
      </c>
      <c r="T222" s="211" t="e">
        <f aca="false">EURO(N222,O222,P222,Q222,S222,R222,IF(Control!$C$38="Call",1,0),0)</f>
        <v>#NAME?</v>
      </c>
      <c r="U222" s="174" t="e">
        <f aca="false">T222*B222*E222</f>
        <v>#VALUE!</v>
      </c>
      <c r="V222" s="212"/>
      <c r="W222" s="213"/>
      <c r="X222" s="213"/>
      <c r="Y222" s="213"/>
      <c r="AA222" s="214"/>
      <c r="AB222" s="214"/>
      <c r="AC222" s="215"/>
      <c r="AD222" s="216"/>
      <c r="AE222" s="217"/>
      <c r="AF222" s="218"/>
      <c r="AG222" s="219"/>
      <c r="AH222" s="220"/>
      <c r="AI222" s="174"/>
      <c r="AJ222" s="171" t="e">
        <f aca="false">Y222-L222</f>
        <v>#VALUE!</v>
      </c>
      <c r="AL222" s="208" t="e">
        <f aca="false">VLOOKUP($C222,Curve_Fetch,2)+Cost_of_Funds</f>
        <v>#VALUE!</v>
      </c>
      <c r="AM222" s="210" t="e">
        <f aca="false">1/(1+AL222/2)^(2*(C222-Val_Date)/365.25)</f>
        <v>#VALUE!</v>
      </c>
      <c r="AO222" s="222" t="e">
        <f aca="false">$B222*$E222*$AM222</f>
        <v>#VALUE!</v>
      </c>
      <c r="AP222" s="222"/>
      <c r="AQ222" s="222" t="e">
        <f aca="false">H222*AO222</f>
        <v>#VALUE!</v>
      </c>
      <c r="AR222" s="222"/>
      <c r="AS222" s="174" t="e">
        <f aca="false">J222*$AO222</f>
        <v>#VALUE!</v>
      </c>
      <c r="AT222" s="174" t="e">
        <f aca="false">K222*$AO222</f>
        <v>#VALUE!</v>
      </c>
      <c r="AU222" s="174" t="e">
        <f aca="false">L222*$AO222</f>
        <v>#VALUE!</v>
      </c>
      <c r="AV222" s="174"/>
      <c r="AW222" s="174"/>
      <c r="AY222" s="220"/>
      <c r="AZ222" s="220"/>
      <c r="BA222" s="223"/>
      <c r="BC222" s="220"/>
      <c r="BE222" s="206"/>
    </row>
    <row r="223" customFormat="false" ht="12.75" hidden="false" customHeight="false" outlineLevel="0" collapsed="false">
      <c r="A223" s="167" t="e">
        <f aca="false">([1]!edate,A222,1)</f>
        <v>#VALUE!</v>
      </c>
      <c r="B223" s="201" t="e">
        <f aca="false">A224-A223</f>
        <v>#VALUE!</v>
      </c>
      <c r="C223" s="202" t="e">
        <f aca="false">IF(Control!$F$18="Physical",Model!A224+24,Model!A224)</f>
        <v>#VALUE!</v>
      </c>
      <c r="E223" s="203" t="e">
        <f aca="false">IF($A223&lt;End_Date,IF(Control!$C$20="Flat",Control!$C$21,VLOOKUP(Model!$A223,Euro!$B$29:$D$182,3)),0)</f>
        <v>#VALUE!</v>
      </c>
      <c r="F223" s="203" t="e">
        <f aca="false">E223*B223</f>
        <v>#VALUE!</v>
      </c>
      <c r="H223" s="204" t="e">
        <f aca="false">IF(Control!$C$27="Mid",VLOOKUP($A223,CurveFetch!$D$8:$F$367,3),VLOOKUP($A223,Euro!$B$29:$I$182,8))</f>
        <v>#VALUE!</v>
      </c>
      <c r="I223" s="204"/>
      <c r="J223" s="204" t="e">
        <f aca="false">IF($J$4="Mid",VLOOKUP($A223,Curve_Fetch,VLOOKUP(Control!$AJ$10,Control!$AI$11:$AK$22,3)),VLOOKUP($A223,Euro!$B$29:$M$182,12))</f>
        <v>#VALUE!</v>
      </c>
      <c r="K223" s="205" t="e">
        <f aca="false">IF(Control!$F$18="Physical",IF($K$4="Mid",VLOOKUP($A223,Curve_Fetch,VLOOKUP(Control!$AJ$10,Control!$AI$11:$AL$22,4)),VLOOKUP($A223,Euro!$B$29:$Q$182,16)),0)</f>
        <v>#VALUE!</v>
      </c>
      <c r="L223" s="204" t="e">
        <f aca="false">SUM(J223:K223)</f>
        <v>#VALUE!</v>
      </c>
      <c r="M223" s="204"/>
      <c r="N223" s="206" t="e">
        <f aca="false">L223+H223</f>
        <v>#VALUE!</v>
      </c>
      <c r="O223" s="206" t="e">
        <f aca="false">N223+Control!$C$39</f>
        <v>#VALUE!</v>
      </c>
      <c r="P223" s="207" t="e">
        <f aca="false">VLOOKUP($A223,CurveFetch!$D$8:$E$367,2)</f>
        <v>#VALUE!</v>
      </c>
      <c r="Q223" s="208" t="e">
        <f aca="false">P223</f>
        <v>#VALUE!</v>
      </c>
      <c r="R223" s="209" t="e">
        <f aca="true">A223-1-TODAY()</f>
        <v>#VALUE!</v>
      </c>
      <c r="S223" s="210" t="e">
        <f aca="false">VLOOKUP($A223,Curve_Fetch,VLOOKUP(Control!$AJ$10,Control!$AI$11:$AM$22,5))</f>
        <v>#VALUE!</v>
      </c>
      <c r="T223" s="211" t="e">
        <f aca="false">EURO(N223,O223,P223,Q223,S223,R223,IF(Control!$C$38="Call",1,0),0)</f>
        <v>#NAME?</v>
      </c>
      <c r="U223" s="174" t="e">
        <f aca="false">T223*B223*E223</f>
        <v>#VALUE!</v>
      </c>
      <c r="V223" s="212"/>
      <c r="W223" s="213"/>
      <c r="X223" s="213"/>
      <c r="Y223" s="213"/>
      <c r="AA223" s="214"/>
      <c r="AB223" s="214"/>
      <c r="AC223" s="215"/>
      <c r="AD223" s="216"/>
      <c r="AE223" s="217"/>
      <c r="AF223" s="218"/>
      <c r="AG223" s="219"/>
      <c r="AH223" s="220"/>
      <c r="AI223" s="174"/>
      <c r="AJ223" s="171" t="e">
        <f aca="false">Y223-L223</f>
        <v>#VALUE!</v>
      </c>
      <c r="AL223" s="208" t="e">
        <f aca="false">VLOOKUP($C223,Curve_Fetch,2)+Cost_of_Funds</f>
        <v>#VALUE!</v>
      </c>
      <c r="AM223" s="210" t="e">
        <f aca="false">1/(1+AL223/2)^(2*(C223-Val_Date)/365.25)</f>
        <v>#VALUE!</v>
      </c>
      <c r="AO223" s="222" t="e">
        <f aca="false">$B223*$E223*$AM223</f>
        <v>#VALUE!</v>
      </c>
      <c r="AP223" s="222"/>
      <c r="AQ223" s="222" t="e">
        <f aca="false">H223*AO223</f>
        <v>#VALUE!</v>
      </c>
      <c r="AR223" s="222"/>
      <c r="AS223" s="174" t="e">
        <f aca="false">J223*$AO223</f>
        <v>#VALUE!</v>
      </c>
      <c r="AT223" s="174" t="e">
        <f aca="false">K223*$AO223</f>
        <v>#VALUE!</v>
      </c>
      <c r="AU223" s="174" t="e">
        <f aca="false">L223*$AO223</f>
        <v>#VALUE!</v>
      </c>
      <c r="AV223" s="174"/>
      <c r="AW223" s="174"/>
      <c r="AY223" s="220"/>
      <c r="AZ223" s="220"/>
      <c r="BA223" s="223"/>
      <c r="BC223" s="220"/>
      <c r="BE223" s="206"/>
    </row>
    <row r="224" customFormat="false" ht="12.75" hidden="false" customHeight="false" outlineLevel="0" collapsed="false">
      <c r="A224" s="167" t="e">
        <f aca="false">([1]!edate,A223,1)</f>
        <v>#VALUE!</v>
      </c>
      <c r="B224" s="201" t="e">
        <f aca="false">A225-A224</f>
        <v>#VALUE!</v>
      </c>
      <c r="C224" s="202" t="e">
        <f aca="false">IF(Control!$F$18="Physical",Model!A225+24,Model!A225)</f>
        <v>#VALUE!</v>
      </c>
      <c r="E224" s="203" t="e">
        <f aca="false">IF($A224&lt;End_Date,IF(Control!$C$20="Flat",Control!$C$21,VLOOKUP(Model!$A224,Euro!$B$29:$D$182,3)),0)</f>
        <v>#VALUE!</v>
      </c>
      <c r="F224" s="203" t="e">
        <f aca="false">E224*B224</f>
        <v>#VALUE!</v>
      </c>
      <c r="H224" s="204" t="e">
        <f aca="false">IF(Control!$C$27="Mid",VLOOKUP($A224,CurveFetch!$D$8:$F$367,3),VLOOKUP($A224,Euro!$B$29:$I$182,8))</f>
        <v>#VALUE!</v>
      </c>
      <c r="I224" s="204"/>
      <c r="J224" s="204" t="e">
        <f aca="false">IF($J$4="Mid",VLOOKUP($A224,Curve_Fetch,VLOOKUP(Control!$AJ$10,Control!$AI$11:$AK$22,3)),VLOOKUP($A224,Euro!$B$29:$M$182,12))</f>
        <v>#VALUE!</v>
      </c>
      <c r="K224" s="205" t="e">
        <f aca="false">IF(Control!$F$18="Physical",IF($K$4="Mid",VLOOKUP($A224,Curve_Fetch,VLOOKUP(Control!$AJ$10,Control!$AI$11:$AL$22,4)),VLOOKUP($A224,Euro!$B$29:$Q$182,16)),0)</f>
        <v>#VALUE!</v>
      </c>
      <c r="L224" s="204" t="e">
        <f aca="false">SUM(J224:K224)</f>
        <v>#VALUE!</v>
      </c>
      <c r="M224" s="204"/>
      <c r="N224" s="206" t="e">
        <f aca="false">L224+H224</f>
        <v>#VALUE!</v>
      </c>
      <c r="O224" s="206" t="e">
        <f aca="false">N224+Control!$C$39</f>
        <v>#VALUE!</v>
      </c>
      <c r="P224" s="207" t="e">
        <f aca="false">VLOOKUP($A224,CurveFetch!$D$8:$E$367,2)</f>
        <v>#VALUE!</v>
      </c>
      <c r="Q224" s="208" t="e">
        <f aca="false">P224</f>
        <v>#VALUE!</v>
      </c>
      <c r="R224" s="209" t="e">
        <f aca="true">A224-1-TODAY()</f>
        <v>#VALUE!</v>
      </c>
      <c r="S224" s="210" t="e">
        <f aca="false">VLOOKUP($A224,Curve_Fetch,VLOOKUP(Control!$AJ$10,Control!$AI$11:$AM$22,5))</f>
        <v>#VALUE!</v>
      </c>
      <c r="T224" s="211" t="e">
        <f aca="false">EURO(N224,O224,P224,Q224,S224,R224,IF(Control!$C$38="Call",1,0),0)</f>
        <v>#NAME?</v>
      </c>
      <c r="U224" s="174" t="e">
        <f aca="false">T224*B224*E224</f>
        <v>#VALUE!</v>
      </c>
      <c r="V224" s="212"/>
      <c r="W224" s="213"/>
      <c r="X224" s="213"/>
      <c r="Y224" s="213"/>
      <c r="AA224" s="214"/>
      <c r="AB224" s="214"/>
      <c r="AC224" s="215"/>
      <c r="AD224" s="216"/>
      <c r="AE224" s="217"/>
      <c r="AF224" s="218"/>
      <c r="AG224" s="219"/>
      <c r="AH224" s="220"/>
      <c r="AI224" s="174"/>
      <c r="AJ224" s="171" t="e">
        <f aca="false">Y224-L224</f>
        <v>#VALUE!</v>
      </c>
      <c r="AL224" s="208" t="e">
        <f aca="false">VLOOKUP($C224,Curve_Fetch,2)+Cost_of_Funds</f>
        <v>#VALUE!</v>
      </c>
      <c r="AM224" s="210" t="e">
        <f aca="false">1/(1+AL224/2)^(2*(C224-Val_Date)/365.25)</f>
        <v>#VALUE!</v>
      </c>
      <c r="AO224" s="222" t="e">
        <f aca="false">$B224*$E224*$AM224</f>
        <v>#VALUE!</v>
      </c>
      <c r="AP224" s="222"/>
      <c r="AQ224" s="222" t="e">
        <f aca="false">H224*AO224</f>
        <v>#VALUE!</v>
      </c>
      <c r="AR224" s="222"/>
      <c r="AS224" s="174" t="e">
        <f aca="false">J224*$AO224</f>
        <v>#VALUE!</v>
      </c>
      <c r="AT224" s="174" t="e">
        <f aca="false">K224*$AO224</f>
        <v>#VALUE!</v>
      </c>
      <c r="AU224" s="174" t="e">
        <f aca="false">L224*$AO224</f>
        <v>#VALUE!</v>
      </c>
      <c r="AV224" s="174"/>
      <c r="AW224" s="174"/>
      <c r="AY224" s="220"/>
      <c r="AZ224" s="220"/>
      <c r="BA224" s="223"/>
      <c r="BC224" s="220"/>
      <c r="BE224" s="206"/>
    </row>
    <row r="225" customFormat="false" ht="12.75" hidden="false" customHeight="false" outlineLevel="0" collapsed="false">
      <c r="A225" s="167" t="e">
        <f aca="false">([1]!edate,A224,1)</f>
        <v>#VALUE!</v>
      </c>
      <c r="B225" s="201" t="e">
        <f aca="false">A226-A225</f>
        <v>#VALUE!</v>
      </c>
      <c r="C225" s="202" t="e">
        <f aca="false">IF(Control!$F$18="Physical",Model!A226+24,Model!A226)</f>
        <v>#VALUE!</v>
      </c>
      <c r="E225" s="203" t="e">
        <f aca="false">IF($A225&lt;End_Date,IF(Control!$C$20="Flat",Control!$C$21,VLOOKUP(Model!$A225,Euro!$B$29:$D$182,3)),0)</f>
        <v>#VALUE!</v>
      </c>
      <c r="F225" s="203" t="e">
        <f aca="false">E225*B225</f>
        <v>#VALUE!</v>
      </c>
      <c r="H225" s="204" t="e">
        <f aca="false">IF(Control!$C$27="Mid",VLOOKUP($A225,CurveFetch!$D$8:$F$367,3),VLOOKUP($A225,Euro!$B$29:$I$182,8))</f>
        <v>#VALUE!</v>
      </c>
      <c r="I225" s="204"/>
      <c r="J225" s="204" t="e">
        <f aca="false">IF($J$4="Mid",VLOOKUP($A225,Curve_Fetch,VLOOKUP(Control!$AJ$10,Control!$AI$11:$AK$22,3)),VLOOKUP($A225,Euro!$B$29:$M$182,12))</f>
        <v>#VALUE!</v>
      </c>
      <c r="K225" s="205" t="e">
        <f aca="false">IF(Control!$F$18="Physical",IF($K$4="Mid",VLOOKUP($A225,Curve_Fetch,VLOOKUP(Control!$AJ$10,Control!$AI$11:$AL$22,4)),VLOOKUP($A225,Euro!$B$29:$Q$182,16)),0)</f>
        <v>#VALUE!</v>
      </c>
      <c r="L225" s="204" t="e">
        <f aca="false">SUM(J225:K225)</f>
        <v>#VALUE!</v>
      </c>
      <c r="M225" s="204"/>
      <c r="N225" s="206" t="e">
        <f aca="false">L225+H225</f>
        <v>#VALUE!</v>
      </c>
      <c r="O225" s="206" t="e">
        <f aca="false">N225+Control!$C$39</f>
        <v>#VALUE!</v>
      </c>
      <c r="P225" s="207" t="e">
        <f aca="false">VLOOKUP($A225,CurveFetch!$D$8:$E$367,2)</f>
        <v>#VALUE!</v>
      </c>
      <c r="Q225" s="208" t="e">
        <f aca="false">P225</f>
        <v>#VALUE!</v>
      </c>
      <c r="R225" s="209" t="e">
        <f aca="true">A225-1-TODAY()</f>
        <v>#VALUE!</v>
      </c>
      <c r="S225" s="210" t="e">
        <f aca="false">VLOOKUP($A225,Curve_Fetch,VLOOKUP(Control!$AJ$10,Control!$AI$11:$AM$22,5))</f>
        <v>#VALUE!</v>
      </c>
      <c r="T225" s="211" t="e">
        <f aca="false">EURO(N225,O225,P225,Q225,S225,R225,IF(Control!$C$38="Call",1,0),0)</f>
        <v>#NAME?</v>
      </c>
      <c r="U225" s="174" t="e">
        <f aca="false">T225*B225*E225</f>
        <v>#VALUE!</v>
      </c>
      <c r="V225" s="212"/>
      <c r="W225" s="213"/>
      <c r="X225" s="213"/>
      <c r="Y225" s="213"/>
      <c r="AA225" s="214"/>
      <c r="AB225" s="214"/>
      <c r="AC225" s="215"/>
      <c r="AD225" s="216"/>
      <c r="AE225" s="217"/>
      <c r="AF225" s="218"/>
      <c r="AG225" s="219"/>
      <c r="AH225" s="220"/>
      <c r="AI225" s="174"/>
      <c r="AJ225" s="171" t="e">
        <f aca="false">Y225-L225</f>
        <v>#VALUE!</v>
      </c>
      <c r="AL225" s="208" t="e">
        <f aca="false">VLOOKUP($C225,Curve_Fetch,2)+Cost_of_Funds</f>
        <v>#VALUE!</v>
      </c>
      <c r="AM225" s="210" t="e">
        <f aca="false">1/(1+AL225/2)^(2*(C225-Val_Date)/365.25)</f>
        <v>#VALUE!</v>
      </c>
      <c r="AO225" s="222" t="e">
        <f aca="false">$B225*$E225*$AM225</f>
        <v>#VALUE!</v>
      </c>
      <c r="AP225" s="222"/>
      <c r="AQ225" s="222" t="e">
        <f aca="false">H225*AO225</f>
        <v>#VALUE!</v>
      </c>
      <c r="AR225" s="222"/>
      <c r="AS225" s="174" t="e">
        <f aca="false">J225*$AO225</f>
        <v>#VALUE!</v>
      </c>
      <c r="AT225" s="174" t="e">
        <f aca="false">K225*$AO225</f>
        <v>#VALUE!</v>
      </c>
      <c r="AU225" s="174" t="e">
        <f aca="false">L225*$AO225</f>
        <v>#VALUE!</v>
      </c>
      <c r="AV225" s="174"/>
      <c r="AW225" s="174"/>
      <c r="AY225" s="220"/>
      <c r="AZ225" s="220"/>
      <c r="BA225" s="223"/>
      <c r="BC225" s="220"/>
      <c r="BE225" s="206"/>
    </row>
    <row r="226" customFormat="false" ht="12.75" hidden="false" customHeight="false" outlineLevel="0" collapsed="false">
      <c r="A226" s="167" t="e">
        <f aca="false">([1]!edate,A225,1)</f>
        <v>#VALUE!</v>
      </c>
      <c r="B226" s="201" t="e">
        <f aca="false">A227-A226</f>
        <v>#VALUE!</v>
      </c>
      <c r="C226" s="202" t="e">
        <f aca="false">IF(Control!$F$18="Physical",Model!A227+24,Model!A227)</f>
        <v>#VALUE!</v>
      </c>
      <c r="E226" s="203" t="e">
        <f aca="false">IF($A226&lt;End_Date,IF(Control!$C$20="Flat",Control!$C$21,VLOOKUP(Model!$A226,Euro!$B$29:$D$182,3)),0)</f>
        <v>#VALUE!</v>
      </c>
      <c r="F226" s="203" t="e">
        <f aca="false">E226*B226</f>
        <v>#VALUE!</v>
      </c>
      <c r="H226" s="204" t="e">
        <f aca="false">IF(Control!$C$27="Mid",VLOOKUP($A226,CurveFetch!$D$8:$F$367,3),VLOOKUP($A226,Euro!$B$29:$I$182,8))</f>
        <v>#VALUE!</v>
      </c>
      <c r="I226" s="204"/>
      <c r="J226" s="204" t="e">
        <f aca="false">IF($J$4="Mid",VLOOKUP($A226,Curve_Fetch,VLOOKUP(Control!$AJ$10,Control!$AI$11:$AK$22,3)),VLOOKUP($A226,Euro!$B$29:$M$182,12))</f>
        <v>#VALUE!</v>
      </c>
      <c r="K226" s="205" t="e">
        <f aca="false">IF(Control!$F$18="Physical",IF($K$4="Mid",VLOOKUP($A226,Curve_Fetch,VLOOKUP(Control!$AJ$10,Control!$AI$11:$AL$22,4)),VLOOKUP($A226,Euro!$B$29:$Q$182,16)),0)</f>
        <v>#VALUE!</v>
      </c>
      <c r="L226" s="204" t="e">
        <f aca="false">SUM(J226:K226)</f>
        <v>#VALUE!</v>
      </c>
      <c r="M226" s="204"/>
      <c r="N226" s="206" t="e">
        <f aca="false">L226+H226</f>
        <v>#VALUE!</v>
      </c>
      <c r="O226" s="206" t="e">
        <f aca="false">N226+Control!$C$39</f>
        <v>#VALUE!</v>
      </c>
      <c r="P226" s="207" t="e">
        <f aca="false">VLOOKUP($A226,CurveFetch!$D$8:$E$367,2)</f>
        <v>#VALUE!</v>
      </c>
      <c r="Q226" s="208" t="e">
        <f aca="false">P226</f>
        <v>#VALUE!</v>
      </c>
      <c r="R226" s="209" t="e">
        <f aca="true">A226-1-TODAY()</f>
        <v>#VALUE!</v>
      </c>
      <c r="S226" s="210" t="e">
        <f aca="false">VLOOKUP($A226,Curve_Fetch,VLOOKUP(Control!$AJ$10,Control!$AI$11:$AM$22,5))</f>
        <v>#VALUE!</v>
      </c>
      <c r="T226" s="211" t="e">
        <f aca="false">EURO(N226,O226,P226,Q226,S226,R226,IF(Control!$C$38="Call",1,0),0)</f>
        <v>#NAME?</v>
      </c>
      <c r="U226" s="174" t="e">
        <f aca="false">T226*B226*E226</f>
        <v>#VALUE!</v>
      </c>
      <c r="V226" s="212"/>
      <c r="W226" s="213"/>
      <c r="X226" s="213"/>
      <c r="Y226" s="213"/>
      <c r="AA226" s="214"/>
      <c r="AB226" s="214"/>
      <c r="AC226" s="215"/>
      <c r="AD226" s="216"/>
      <c r="AE226" s="217"/>
      <c r="AF226" s="218"/>
      <c r="AG226" s="219"/>
      <c r="AH226" s="220"/>
      <c r="AI226" s="174"/>
      <c r="AJ226" s="171" t="e">
        <f aca="false">Y226-L226</f>
        <v>#VALUE!</v>
      </c>
      <c r="AL226" s="208" t="e">
        <f aca="false">VLOOKUP($C226,Curve_Fetch,2)+Cost_of_Funds</f>
        <v>#VALUE!</v>
      </c>
      <c r="AM226" s="210" t="e">
        <f aca="false">1/(1+AL226/2)^(2*(C226-Val_Date)/365.25)</f>
        <v>#VALUE!</v>
      </c>
      <c r="AO226" s="222" t="e">
        <f aca="false">$B226*$E226*$AM226</f>
        <v>#VALUE!</v>
      </c>
      <c r="AP226" s="222"/>
      <c r="AQ226" s="222" t="e">
        <f aca="false">H226*AO226</f>
        <v>#VALUE!</v>
      </c>
      <c r="AR226" s="222"/>
      <c r="AS226" s="174" t="e">
        <f aca="false">J226*$AO226</f>
        <v>#VALUE!</v>
      </c>
      <c r="AT226" s="174" t="e">
        <f aca="false">K226*$AO226</f>
        <v>#VALUE!</v>
      </c>
      <c r="AU226" s="174" t="e">
        <f aca="false">L226*$AO226</f>
        <v>#VALUE!</v>
      </c>
      <c r="AV226" s="174"/>
      <c r="AW226" s="174"/>
      <c r="AY226" s="220"/>
      <c r="AZ226" s="220"/>
      <c r="BA226" s="223"/>
      <c r="BC226" s="220"/>
      <c r="BE226" s="206"/>
    </row>
    <row r="227" customFormat="false" ht="12.75" hidden="false" customHeight="false" outlineLevel="0" collapsed="false">
      <c r="A227" s="167" t="e">
        <f aca="false">([1]!edate,A226,1)</f>
        <v>#VALUE!</v>
      </c>
      <c r="B227" s="201" t="e">
        <f aca="false">A228-A227</f>
        <v>#VALUE!</v>
      </c>
      <c r="C227" s="202" t="e">
        <f aca="false">IF(Control!$F$18="Physical",Model!A228+24,Model!A228)</f>
        <v>#VALUE!</v>
      </c>
      <c r="E227" s="203" t="e">
        <f aca="false">IF($A227&lt;End_Date,IF(Control!$C$20="Flat",Control!$C$21,VLOOKUP(Model!$A227,Euro!$B$29:$D$182,3)),0)</f>
        <v>#VALUE!</v>
      </c>
      <c r="F227" s="203" t="e">
        <f aca="false">E227*B227</f>
        <v>#VALUE!</v>
      </c>
      <c r="H227" s="204" t="e">
        <f aca="false">IF(Control!$C$27="Mid",VLOOKUP($A227,CurveFetch!$D$8:$F$367,3),VLOOKUP($A227,Euro!$B$29:$I$182,8))</f>
        <v>#VALUE!</v>
      </c>
      <c r="I227" s="204"/>
      <c r="J227" s="204" t="e">
        <f aca="false">IF($J$4="Mid",VLOOKUP($A227,Curve_Fetch,VLOOKUP(Control!$AJ$10,Control!$AI$11:$AK$22,3)),VLOOKUP($A227,Euro!$B$29:$M$182,12))</f>
        <v>#VALUE!</v>
      </c>
      <c r="K227" s="205" t="e">
        <f aca="false">IF(Control!$F$18="Physical",IF($K$4="Mid",VLOOKUP($A227,Curve_Fetch,VLOOKUP(Control!$AJ$10,Control!$AI$11:$AL$22,4)),VLOOKUP($A227,Euro!$B$29:$Q$182,16)),0)</f>
        <v>#VALUE!</v>
      </c>
      <c r="L227" s="204" t="e">
        <f aca="false">SUM(J227:K227)</f>
        <v>#VALUE!</v>
      </c>
      <c r="M227" s="204"/>
      <c r="N227" s="206" t="e">
        <f aca="false">L227+H227</f>
        <v>#VALUE!</v>
      </c>
      <c r="O227" s="206" t="e">
        <f aca="false">N227+Control!$C$39</f>
        <v>#VALUE!</v>
      </c>
      <c r="P227" s="207" t="e">
        <f aca="false">VLOOKUP($A227,CurveFetch!$D$8:$E$367,2)</f>
        <v>#VALUE!</v>
      </c>
      <c r="Q227" s="208" t="e">
        <f aca="false">P227</f>
        <v>#VALUE!</v>
      </c>
      <c r="R227" s="209" t="e">
        <f aca="true">A227-1-TODAY()</f>
        <v>#VALUE!</v>
      </c>
      <c r="S227" s="210" t="e">
        <f aca="false">VLOOKUP($A227,Curve_Fetch,VLOOKUP(Control!$AJ$10,Control!$AI$11:$AM$22,5))</f>
        <v>#VALUE!</v>
      </c>
      <c r="T227" s="211" t="e">
        <f aca="false">EURO(N227,O227,P227,Q227,S227,R227,IF(Control!$C$38="Call",1,0),0)</f>
        <v>#NAME?</v>
      </c>
      <c r="U227" s="174" t="e">
        <f aca="false">T227*B227*E227</f>
        <v>#VALUE!</v>
      </c>
      <c r="V227" s="212"/>
      <c r="W227" s="213"/>
      <c r="X227" s="213"/>
      <c r="Y227" s="213"/>
      <c r="AA227" s="214"/>
      <c r="AB227" s="214"/>
      <c r="AC227" s="215"/>
      <c r="AD227" s="216"/>
      <c r="AE227" s="217"/>
      <c r="AF227" s="218"/>
      <c r="AG227" s="219"/>
      <c r="AH227" s="220"/>
      <c r="AI227" s="174"/>
      <c r="AJ227" s="171" t="e">
        <f aca="false">Y227-L227</f>
        <v>#VALUE!</v>
      </c>
      <c r="AL227" s="208" t="e">
        <f aca="false">VLOOKUP($C227,Curve_Fetch,2)+Cost_of_Funds</f>
        <v>#VALUE!</v>
      </c>
      <c r="AM227" s="210" t="e">
        <f aca="false">1/(1+AL227/2)^(2*(C227-Val_Date)/365.25)</f>
        <v>#VALUE!</v>
      </c>
      <c r="AO227" s="222" t="e">
        <f aca="false">$B227*$E227*$AM227</f>
        <v>#VALUE!</v>
      </c>
      <c r="AP227" s="222"/>
      <c r="AQ227" s="222" t="e">
        <f aca="false">H227*AO227</f>
        <v>#VALUE!</v>
      </c>
      <c r="AR227" s="222"/>
      <c r="AS227" s="174" t="e">
        <f aca="false">J227*$AO227</f>
        <v>#VALUE!</v>
      </c>
      <c r="AT227" s="174" t="e">
        <f aca="false">K227*$AO227</f>
        <v>#VALUE!</v>
      </c>
      <c r="AU227" s="174" t="e">
        <f aca="false">L227*$AO227</f>
        <v>#VALUE!</v>
      </c>
      <c r="AV227" s="174"/>
      <c r="AW227" s="174"/>
      <c r="AY227" s="220"/>
      <c r="AZ227" s="220"/>
      <c r="BA227" s="223"/>
      <c r="BC227" s="220"/>
      <c r="BE227" s="206"/>
    </row>
    <row r="228" customFormat="false" ht="12.75" hidden="false" customHeight="false" outlineLevel="0" collapsed="false">
      <c r="A228" s="167" t="e">
        <f aca="false">([1]!edate,A227,1)</f>
        <v>#VALUE!</v>
      </c>
      <c r="B228" s="201" t="e">
        <f aca="false">A229-A228</f>
        <v>#VALUE!</v>
      </c>
      <c r="C228" s="202" t="e">
        <f aca="false">IF(Control!$F$18="Physical",Model!A229+24,Model!A229)</f>
        <v>#VALUE!</v>
      </c>
      <c r="E228" s="203" t="e">
        <f aca="false">IF($A228&lt;End_Date,IF(Control!$C$20="Flat",Control!$C$21,VLOOKUP(Model!$A228,Euro!$B$29:$D$182,3)),0)</f>
        <v>#VALUE!</v>
      </c>
      <c r="F228" s="203" t="e">
        <f aca="false">E228*B228</f>
        <v>#VALUE!</v>
      </c>
      <c r="H228" s="204" t="e">
        <f aca="false">IF(Control!$C$27="Mid",VLOOKUP($A228,CurveFetch!$D$8:$F$367,3),VLOOKUP($A228,Euro!$B$29:$I$182,8))</f>
        <v>#VALUE!</v>
      </c>
      <c r="I228" s="204"/>
      <c r="J228" s="204" t="e">
        <f aca="false">IF($J$4="Mid",VLOOKUP($A228,Curve_Fetch,VLOOKUP(Control!$AJ$10,Control!$AI$11:$AK$22,3)),VLOOKUP($A228,Euro!$B$29:$M$182,12))</f>
        <v>#VALUE!</v>
      </c>
      <c r="K228" s="205" t="e">
        <f aca="false">IF(Control!$F$18="Physical",IF($K$4="Mid",VLOOKUP($A228,Curve_Fetch,VLOOKUP(Control!$AJ$10,Control!$AI$11:$AL$22,4)),VLOOKUP($A228,Euro!$B$29:$Q$182,16)),0)</f>
        <v>#VALUE!</v>
      </c>
      <c r="L228" s="204" t="e">
        <f aca="false">SUM(J228:K228)</f>
        <v>#VALUE!</v>
      </c>
      <c r="M228" s="204"/>
      <c r="N228" s="206" t="e">
        <f aca="false">L228+H228</f>
        <v>#VALUE!</v>
      </c>
      <c r="O228" s="206" t="e">
        <f aca="false">N228+Control!$C$39</f>
        <v>#VALUE!</v>
      </c>
      <c r="P228" s="207" t="e">
        <f aca="false">VLOOKUP($A228,CurveFetch!$D$8:$E$367,2)</f>
        <v>#VALUE!</v>
      </c>
      <c r="Q228" s="208" t="e">
        <f aca="false">P228</f>
        <v>#VALUE!</v>
      </c>
      <c r="R228" s="209" t="e">
        <f aca="true">A228-1-TODAY()</f>
        <v>#VALUE!</v>
      </c>
      <c r="S228" s="210" t="e">
        <f aca="false">VLOOKUP($A228,Curve_Fetch,VLOOKUP(Control!$AJ$10,Control!$AI$11:$AM$22,5))</f>
        <v>#VALUE!</v>
      </c>
      <c r="T228" s="211" t="e">
        <f aca="false">EURO(N228,O228,P228,Q228,S228,R228,IF(Control!$C$38="Call",1,0),0)</f>
        <v>#NAME?</v>
      </c>
      <c r="U228" s="174" t="e">
        <f aca="false">T228*B228*E228</f>
        <v>#VALUE!</v>
      </c>
      <c r="V228" s="212"/>
      <c r="W228" s="213"/>
      <c r="X228" s="213"/>
      <c r="Y228" s="213"/>
      <c r="AA228" s="214"/>
      <c r="AB228" s="214"/>
      <c r="AC228" s="215"/>
      <c r="AD228" s="216"/>
      <c r="AE228" s="217"/>
      <c r="AF228" s="218"/>
      <c r="AG228" s="219"/>
      <c r="AH228" s="220"/>
      <c r="AI228" s="174"/>
      <c r="AJ228" s="171" t="e">
        <f aca="false">Y228-L228</f>
        <v>#VALUE!</v>
      </c>
      <c r="AL228" s="208" t="e">
        <f aca="false">VLOOKUP($C228,Curve_Fetch,2)+Cost_of_Funds</f>
        <v>#VALUE!</v>
      </c>
      <c r="AM228" s="210" t="e">
        <f aca="false">1/(1+AL228/2)^(2*(C228-Val_Date)/365.25)</f>
        <v>#VALUE!</v>
      </c>
      <c r="AO228" s="222" t="e">
        <f aca="false">$B228*$E228*$AM228</f>
        <v>#VALUE!</v>
      </c>
      <c r="AP228" s="222"/>
      <c r="AQ228" s="222" t="e">
        <f aca="false">H228*AO228</f>
        <v>#VALUE!</v>
      </c>
      <c r="AR228" s="222"/>
      <c r="AS228" s="174" t="e">
        <f aca="false">J228*$AO228</f>
        <v>#VALUE!</v>
      </c>
      <c r="AT228" s="174" t="e">
        <f aca="false">K228*$AO228</f>
        <v>#VALUE!</v>
      </c>
      <c r="AU228" s="174" t="e">
        <f aca="false">L228*$AO228</f>
        <v>#VALUE!</v>
      </c>
      <c r="AV228" s="174"/>
      <c r="AW228" s="174"/>
      <c r="AY228" s="220"/>
      <c r="AZ228" s="220"/>
      <c r="BA228" s="223"/>
      <c r="BC228" s="220"/>
      <c r="BE228" s="206"/>
    </row>
    <row r="229" customFormat="false" ht="12.75" hidden="false" customHeight="false" outlineLevel="0" collapsed="false">
      <c r="A229" s="167" t="e">
        <f aca="false">([1]!edate,A228,1)</f>
        <v>#VALUE!</v>
      </c>
      <c r="B229" s="201" t="e">
        <f aca="false">A230-A229</f>
        <v>#VALUE!</v>
      </c>
      <c r="C229" s="202" t="e">
        <f aca="false">IF(Control!$F$18="Physical",Model!A230+24,Model!A230)</f>
        <v>#VALUE!</v>
      </c>
      <c r="E229" s="203" t="e">
        <f aca="false">IF($A229&lt;End_Date,IF(Control!$C$20="Flat",Control!$C$21,VLOOKUP(Model!$A229,Euro!$B$29:$D$182,3)),0)</f>
        <v>#VALUE!</v>
      </c>
      <c r="F229" s="203" t="e">
        <f aca="false">E229*B229</f>
        <v>#VALUE!</v>
      </c>
      <c r="H229" s="204" t="e">
        <f aca="false">IF(Control!$C$27="Mid",VLOOKUP($A229,CurveFetch!$D$8:$F$367,3),VLOOKUP($A229,Euro!$B$29:$I$182,8))</f>
        <v>#VALUE!</v>
      </c>
      <c r="I229" s="204"/>
      <c r="J229" s="204" t="e">
        <f aca="false">IF($J$4="Mid",VLOOKUP($A229,Curve_Fetch,VLOOKUP(Control!$AJ$10,Control!$AI$11:$AK$22,3)),VLOOKUP($A229,Euro!$B$29:$M$182,12))</f>
        <v>#VALUE!</v>
      </c>
      <c r="K229" s="205" t="e">
        <f aca="false">IF(Control!$F$18="Physical",IF($K$4="Mid",VLOOKUP($A229,Curve_Fetch,VLOOKUP(Control!$AJ$10,Control!$AI$11:$AL$22,4)),VLOOKUP($A229,Euro!$B$29:$Q$182,16)),0)</f>
        <v>#VALUE!</v>
      </c>
      <c r="L229" s="204" t="e">
        <f aca="false">SUM(J229:K229)</f>
        <v>#VALUE!</v>
      </c>
      <c r="M229" s="204"/>
      <c r="N229" s="206" t="e">
        <f aca="false">L229+H229</f>
        <v>#VALUE!</v>
      </c>
      <c r="O229" s="206" t="e">
        <f aca="false">N229+Control!$C$39</f>
        <v>#VALUE!</v>
      </c>
      <c r="P229" s="207" t="e">
        <f aca="false">VLOOKUP($A229,CurveFetch!$D$8:$E$367,2)</f>
        <v>#VALUE!</v>
      </c>
      <c r="Q229" s="208" t="e">
        <f aca="false">P229</f>
        <v>#VALUE!</v>
      </c>
      <c r="R229" s="209" t="e">
        <f aca="true">A229-1-TODAY()</f>
        <v>#VALUE!</v>
      </c>
      <c r="S229" s="210" t="e">
        <f aca="false">VLOOKUP($A229,Curve_Fetch,VLOOKUP(Control!$AJ$10,Control!$AI$11:$AM$22,5))</f>
        <v>#VALUE!</v>
      </c>
      <c r="T229" s="211" t="e">
        <f aca="false">EURO(N229,O229,P229,Q229,S229,R229,IF(Control!$C$38="Call",1,0),0)</f>
        <v>#NAME?</v>
      </c>
      <c r="U229" s="174" t="e">
        <f aca="false">T229*B229*E229</f>
        <v>#VALUE!</v>
      </c>
      <c r="V229" s="212"/>
      <c r="W229" s="213"/>
      <c r="X229" s="213"/>
      <c r="Y229" s="213"/>
      <c r="AA229" s="214"/>
      <c r="AB229" s="214"/>
      <c r="AC229" s="215"/>
      <c r="AD229" s="216"/>
      <c r="AE229" s="217"/>
      <c r="AF229" s="218"/>
      <c r="AG229" s="219"/>
      <c r="AH229" s="220"/>
      <c r="AI229" s="174"/>
      <c r="AJ229" s="171" t="e">
        <f aca="false">Y229-L229</f>
        <v>#VALUE!</v>
      </c>
      <c r="AL229" s="208" t="e">
        <f aca="false">VLOOKUP($C229,Curve_Fetch,2)+Cost_of_Funds</f>
        <v>#VALUE!</v>
      </c>
      <c r="AM229" s="210" t="e">
        <f aca="false">1/(1+AL229/2)^(2*(C229-Val_Date)/365.25)</f>
        <v>#VALUE!</v>
      </c>
      <c r="AO229" s="222" t="e">
        <f aca="false">$B229*$E229*$AM229</f>
        <v>#VALUE!</v>
      </c>
      <c r="AP229" s="222"/>
      <c r="AQ229" s="222" t="e">
        <f aca="false">H229*AO229</f>
        <v>#VALUE!</v>
      </c>
      <c r="AR229" s="222"/>
      <c r="AS229" s="174" t="e">
        <f aca="false">J229*$AO229</f>
        <v>#VALUE!</v>
      </c>
      <c r="AT229" s="174" t="e">
        <f aca="false">K229*$AO229</f>
        <v>#VALUE!</v>
      </c>
      <c r="AU229" s="174" t="e">
        <f aca="false">L229*$AO229</f>
        <v>#VALUE!</v>
      </c>
      <c r="AV229" s="174"/>
      <c r="AW229" s="174"/>
      <c r="AY229" s="220"/>
      <c r="AZ229" s="220"/>
      <c r="BA229" s="223"/>
      <c r="BC229" s="220"/>
      <c r="BE229" s="206"/>
    </row>
    <row r="230" customFormat="false" ht="12.75" hidden="false" customHeight="false" outlineLevel="0" collapsed="false">
      <c r="A230" s="167" t="e">
        <f aca="false">([1]!edate,A229,1)</f>
        <v>#VALUE!</v>
      </c>
      <c r="B230" s="201" t="e">
        <f aca="false">A231-A230</f>
        <v>#VALUE!</v>
      </c>
      <c r="C230" s="202" t="e">
        <f aca="false">IF(Control!$F$18="Physical",Model!A231+24,Model!A231)</f>
        <v>#VALUE!</v>
      </c>
      <c r="E230" s="203" t="e">
        <f aca="false">IF($A230&lt;End_Date,IF(Control!$C$20="Flat",Control!$C$21,VLOOKUP(Model!$A230,Euro!$B$29:$D$182,3)),0)</f>
        <v>#VALUE!</v>
      </c>
      <c r="F230" s="203" t="e">
        <f aca="false">E230*B230</f>
        <v>#VALUE!</v>
      </c>
      <c r="H230" s="204" t="e">
        <f aca="false">IF(Control!$C$27="Mid",VLOOKUP($A230,CurveFetch!$D$8:$F$367,3),VLOOKUP($A230,Euro!$B$29:$I$182,8))</f>
        <v>#VALUE!</v>
      </c>
      <c r="I230" s="204"/>
      <c r="J230" s="204" t="e">
        <f aca="false">IF($J$4="Mid",VLOOKUP($A230,Curve_Fetch,VLOOKUP(Control!$AJ$10,Control!$AI$11:$AK$22,3)),VLOOKUP($A230,Euro!$B$29:$M$182,12))</f>
        <v>#VALUE!</v>
      </c>
      <c r="K230" s="205" t="e">
        <f aca="false">IF(Control!$F$18="Physical",IF($K$4="Mid",VLOOKUP($A230,Curve_Fetch,VLOOKUP(Control!$AJ$10,Control!$AI$11:$AL$22,4)),VLOOKUP($A230,Euro!$B$29:$Q$182,16)),0)</f>
        <v>#VALUE!</v>
      </c>
      <c r="L230" s="204" t="e">
        <f aca="false">SUM(J230:K230)</f>
        <v>#VALUE!</v>
      </c>
      <c r="M230" s="204"/>
      <c r="N230" s="206" t="e">
        <f aca="false">L230+H230</f>
        <v>#VALUE!</v>
      </c>
      <c r="O230" s="206" t="e">
        <f aca="false">N230+Control!$C$39</f>
        <v>#VALUE!</v>
      </c>
      <c r="P230" s="207" t="e">
        <f aca="false">VLOOKUP($A230,CurveFetch!$D$8:$E$367,2)</f>
        <v>#VALUE!</v>
      </c>
      <c r="Q230" s="208" t="e">
        <f aca="false">P230</f>
        <v>#VALUE!</v>
      </c>
      <c r="R230" s="209" t="e">
        <f aca="true">A230-1-TODAY()</f>
        <v>#VALUE!</v>
      </c>
      <c r="S230" s="210" t="e">
        <f aca="false">VLOOKUP($A230,Curve_Fetch,VLOOKUP(Control!$AJ$10,Control!$AI$11:$AM$22,5))</f>
        <v>#VALUE!</v>
      </c>
      <c r="T230" s="211" t="e">
        <f aca="false">EURO(N230,O230,P230,Q230,S230,R230,IF(Control!$C$38="Call",1,0),0)</f>
        <v>#NAME?</v>
      </c>
      <c r="U230" s="174" t="e">
        <f aca="false">T230*B230*E230</f>
        <v>#VALUE!</v>
      </c>
      <c r="V230" s="212"/>
      <c r="W230" s="213"/>
      <c r="X230" s="213"/>
      <c r="Y230" s="213"/>
      <c r="AA230" s="214"/>
      <c r="AB230" s="214"/>
      <c r="AC230" s="215"/>
      <c r="AD230" s="216"/>
      <c r="AE230" s="217"/>
      <c r="AF230" s="218"/>
      <c r="AG230" s="219"/>
      <c r="AH230" s="220"/>
      <c r="AI230" s="174"/>
      <c r="AJ230" s="171" t="e">
        <f aca="false">Y230-L230</f>
        <v>#VALUE!</v>
      </c>
      <c r="AL230" s="208" t="e">
        <f aca="false">VLOOKUP($C230,Curve_Fetch,2)+Cost_of_Funds</f>
        <v>#VALUE!</v>
      </c>
      <c r="AM230" s="210" t="e">
        <f aca="false">1/(1+AL230/2)^(2*(C230-Val_Date)/365.25)</f>
        <v>#VALUE!</v>
      </c>
      <c r="AO230" s="222" t="e">
        <f aca="false">$B230*$E230*$AM230</f>
        <v>#VALUE!</v>
      </c>
      <c r="AP230" s="222"/>
      <c r="AQ230" s="222" t="e">
        <f aca="false">H230*AO230</f>
        <v>#VALUE!</v>
      </c>
      <c r="AR230" s="222"/>
      <c r="AS230" s="174" t="e">
        <f aca="false">J230*$AO230</f>
        <v>#VALUE!</v>
      </c>
      <c r="AT230" s="174" t="e">
        <f aca="false">K230*$AO230</f>
        <v>#VALUE!</v>
      </c>
      <c r="AU230" s="174" t="e">
        <f aca="false">L230*$AO230</f>
        <v>#VALUE!</v>
      </c>
      <c r="AV230" s="174"/>
      <c r="AW230" s="174"/>
      <c r="AY230" s="220"/>
      <c r="AZ230" s="220"/>
      <c r="BA230" s="223"/>
      <c r="BC230" s="220"/>
      <c r="BE230" s="206"/>
    </row>
    <row r="231" customFormat="false" ht="12.75" hidden="false" customHeight="false" outlineLevel="0" collapsed="false">
      <c r="A231" s="167" t="e">
        <f aca="false">([1]!edate,A230,1)</f>
        <v>#VALUE!</v>
      </c>
      <c r="B231" s="201" t="e">
        <f aca="false">A232-A231</f>
        <v>#VALUE!</v>
      </c>
      <c r="C231" s="202" t="e">
        <f aca="false">IF(Control!$F$18="Physical",Model!A232+24,Model!A232)</f>
        <v>#VALUE!</v>
      </c>
      <c r="E231" s="203" t="e">
        <f aca="false">IF($A231&lt;End_Date,IF(Control!$C$20="Flat",Control!$C$21,VLOOKUP(Model!$A231,Euro!$B$29:$D$182,3)),0)</f>
        <v>#VALUE!</v>
      </c>
      <c r="F231" s="203" t="e">
        <f aca="false">E231*B231</f>
        <v>#VALUE!</v>
      </c>
      <c r="H231" s="204" t="e">
        <f aca="false">IF(Control!$C$27="Mid",VLOOKUP($A231,CurveFetch!$D$8:$F$367,3),VLOOKUP($A231,Euro!$B$29:$I$182,8))</f>
        <v>#VALUE!</v>
      </c>
      <c r="I231" s="204"/>
      <c r="J231" s="204" t="e">
        <f aca="false">IF($J$4="Mid",VLOOKUP($A231,Curve_Fetch,VLOOKUP(Control!$AJ$10,Control!$AI$11:$AK$22,3)),VLOOKUP($A231,Euro!$B$29:$M$182,12))</f>
        <v>#VALUE!</v>
      </c>
      <c r="K231" s="205" t="e">
        <f aca="false">IF(Control!$F$18="Physical",IF($K$4="Mid",VLOOKUP($A231,Curve_Fetch,VLOOKUP(Control!$AJ$10,Control!$AI$11:$AL$22,4)),VLOOKUP($A231,Euro!$B$29:$Q$182,16)),0)</f>
        <v>#VALUE!</v>
      </c>
      <c r="L231" s="204" t="e">
        <f aca="false">SUM(J231:K231)</f>
        <v>#VALUE!</v>
      </c>
      <c r="M231" s="204"/>
      <c r="N231" s="206" t="e">
        <f aca="false">L231+H231</f>
        <v>#VALUE!</v>
      </c>
      <c r="O231" s="206" t="e">
        <f aca="false">N231+Control!$C$39</f>
        <v>#VALUE!</v>
      </c>
      <c r="P231" s="207" t="e">
        <f aca="false">VLOOKUP($A231,CurveFetch!$D$8:$E$367,2)</f>
        <v>#VALUE!</v>
      </c>
      <c r="Q231" s="208" t="e">
        <f aca="false">P231</f>
        <v>#VALUE!</v>
      </c>
      <c r="R231" s="209" t="e">
        <f aca="true">A231-1-TODAY()</f>
        <v>#VALUE!</v>
      </c>
      <c r="S231" s="210" t="e">
        <f aca="false">VLOOKUP($A231,Curve_Fetch,VLOOKUP(Control!$AJ$10,Control!$AI$11:$AM$22,5))</f>
        <v>#VALUE!</v>
      </c>
      <c r="T231" s="211" t="e">
        <f aca="false">EURO(N231,O231,P231,Q231,S231,R231,IF(Control!$C$38="Call",1,0),0)</f>
        <v>#NAME?</v>
      </c>
      <c r="U231" s="174" t="e">
        <f aca="false">T231*B231*E231</f>
        <v>#VALUE!</v>
      </c>
      <c r="V231" s="212"/>
      <c r="W231" s="213"/>
      <c r="X231" s="213"/>
      <c r="Y231" s="213"/>
      <c r="AA231" s="214"/>
      <c r="AB231" s="214"/>
      <c r="AC231" s="215"/>
      <c r="AD231" s="216"/>
      <c r="AE231" s="217"/>
      <c r="AF231" s="218"/>
      <c r="AG231" s="219"/>
      <c r="AH231" s="220"/>
      <c r="AI231" s="174"/>
      <c r="AJ231" s="171" t="e">
        <f aca="false">Y231-L231</f>
        <v>#VALUE!</v>
      </c>
      <c r="AL231" s="208" t="e">
        <f aca="false">VLOOKUP($C231,Curve_Fetch,2)+Cost_of_Funds</f>
        <v>#VALUE!</v>
      </c>
      <c r="AM231" s="210" t="e">
        <f aca="false">1/(1+AL231/2)^(2*(C231-Val_Date)/365.25)</f>
        <v>#VALUE!</v>
      </c>
      <c r="AO231" s="222" t="e">
        <f aca="false">$B231*$E231*$AM231</f>
        <v>#VALUE!</v>
      </c>
      <c r="AP231" s="222"/>
      <c r="AQ231" s="222" t="e">
        <f aca="false">H231*AO231</f>
        <v>#VALUE!</v>
      </c>
      <c r="AR231" s="222"/>
      <c r="AS231" s="174" t="e">
        <f aca="false">J231*$AO231</f>
        <v>#VALUE!</v>
      </c>
      <c r="AT231" s="174" t="e">
        <f aca="false">K231*$AO231</f>
        <v>#VALUE!</v>
      </c>
      <c r="AU231" s="174" t="e">
        <f aca="false">L231*$AO231</f>
        <v>#VALUE!</v>
      </c>
      <c r="AV231" s="174"/>
      <c r="AW231" s="174"/>
      <c r="AY231" s="220"/>
      <c r="AZ231" s="220"/>
      <c r="BA231" s="223"/>
      <c r="BC231" s="220"/>
      <c r="BE231" s="206"/>
    </row>
    <row r="232" customFormat="false" ht="12.75" hidden="false" customHeight="false" outlineLevel="0" collapsed="false">
      <c r="A232" s="167" t="e">
        <f aca="false">([1]!edate,A231,1)</f>
        <v>#VALUE!</v>
      </c>
      <c r="B232" s="201" t="e">
        <f aca="false">A233-A232</f>
        <v>#VALUE!</v>
      </c>
      <c r="C232" s="202" t="e">
        <f aca="false">IF(Control!$F$18="Physical",Model!A233+24,Model!A233)</f>
        <v>#VALUE!</v>
      </c>
      <c r="E232" s="203" t="e">
        <f aca="false">IF($A232&lt;End_Date,IF(Control!$C$20="Flat",Control!$C$21,VLOOKUP(Model!$A232,Euro!$B$29:$D$182,3)),0)</f>
        <v>#VALUE!</v>
      </c>
      <c r="F232" s="203" t="e">
        <f aca="false">E232*B232</f>
        <v>#VALUE!</v>
      </c>
      <c r="H232" s="204" t="e">
        <f aca="false">IF(Control!$C$27="Mid",VLOOKUP($A232,CurveFetch!$D$8:$F$367,3),VLOOKUP($A232,Euro!$B$29:$I$182,8))</f>
        <v>#VALUE!</v>
      </c>
      <c r="I232" s="204"/>
      <c r="J232" s="204" t="e">
        <f aca="false">IF($J$4="Mid",VLOOKUP($A232,Curve_Fetch,VLOOKUP(Control!$AJ$10,Control!$AI$11:$AK$22,3)),VLOOKUP($A232,Euro!$B$29:$M$182,12))</f>
        <v>#VALUE!</v>
      </c>
      <c r="K232" s="205" t="e">
        <f aca="false">IF(Control!$F$18="Physical",IF($K$4="Mid",VLOOKUP($A232,Curve_Fetch,VLOOKUP(Control!$AJ$10,Control!$AI$11:$AL$22,4)),VLOOKUP($A232,Euro!$B$29:$Q$182,16)),0)</f>
        <v>#VALUE!</v>
      </c>
      <c r="L232" s="204" t="e">
        <f aca="false">SUM(J232:K232)</f>
        <v>#VALUE!</v>
      </c>
      <c r="M232" s="204"/>
      <c r="N232" s="206" t="e">
        <f aca="false">L232+H232</f>
        <v>#VALUE!</v>
      </c>
      <c r="O232" s="206" t="e">
        <f aca="false">N232+Control!$C$39</f>
        <v>#VALUE!</v>
      </c>
      <c r="P232" s="207" t="e">
        <f aca="false">VLOOKUP($A232,CurveFetch!$D$8:$E$367,2)</f>
        <v>#VALUE!</v>
      </c>
      <c r="Q232" s="208" t="e">
        <f aca="false">P232</f>
        <v>#VALUE!</v>
      </c>
      <c r="R232" s="209" t="e">
        <f aca="true">A232-1-TODAY()</f>
        <v>#VALUE!</v>
      </c>
      <c r="S232" s="210" t="e">
        <f aca="false">VLOOKUP($A232,Curve_Fetch,VLOOKUP(Control!$AJ$10,Control!$AI$11:$AM$22,5))</f>
        <v>#VALUE!</v>
      </c>
      <c r="T232" s="211" t="e">
        <f aca="false">EURO(N232,O232,P232,Q232,S232,R232,IF(Control!$C$38="Call",1,0),0)</f>
        <v>#NAME?</v>
      </c>
      <c r="U232" s="174" t="e">
        <f aca="false">T232*B232*E232</f>
        <v>#VALUE!</v>
      </c>
      <c r="V232" s="212"/>
      <c r="W232" s="213"/>
      <c r="X232" s="213"/>
      <c r="Y232" s="213"/>
      <c r="AA232" s="214"/>
      <c r="AB232" s="214"/>
      <c r="AC232" s="215"/>
      <c r="AD232" s="216"/>
      <c r="AE232" s="217"/>
      <c r="AF232" s="218"/>
      <c r="AG232" s="219"/>
      <c r="AH232" s="220"/>
      <c r="AI232" s="174"/>
      <c r="AJ232" s="171" t="e">
        <f aca="false">Y232-L232</f>
        <v>#VALUE!</v>
      </c>
      <c r="AL232" s="208" t="e">
        <f aca="false">VLOOKUP($C232,Curve_Fetch,2)+Cost_of_Funds</f>
        <v>#VALUE!</v>
      </c>
      <c r="AM232" s="210" t="e">
        <f aca="false">1/(1+AL232/2)^(2*(C232-Val_Date)/365.25)</f>
        <v>#VALUE!</v>
      </c>
      <c r="AO232" s="222" t="e">
        <f aca="false">$B232*$E232*$AM232</f>
        <v>#VALUE!</v>
      </c>
      <c r="AP232" s="222"/>
      <c r="AQ232" s="222" t="e">
        <f aca="false">H232*AO232</f>
        <v>#VALUE!</v>
      </c>
      <c r="AR232" s="222"/>
      <c r="AS232" s="174" t="e">
        <f aca="false">J232*$AO232</f>
        <v>#VALUE!</v>
      </c>
      <c r="AT232" s="174" t="e">
        <f aca="false">K232*$AO232</f>
        <v>#VALUE!</v>
      </c>
      <c r="AU232" s="174" t="e">
        <f aca="false">L232*$AO232</f>
        <v>#VALUE!</v>
      </c>
      <c r="AV232" s="174"/>
      <c r="AW232" s="174"/>
      <c r="AY232" s="220"/>
      <c r="AZ232" s="220"/>
      <c r="BA232" s="223"/>
      <c r="BC232" s="220"/>
      <c r="BE232" s="206"/>
    </row>
    <row r="233" customFormat="false" ht="12.75" hidden="false" customHeight="false" outlineLevel="0" collapsed="false">
      <c r="A233" s="167" t="e">
        <f aca="false">([1]!edate,A232,1)</f>
        <v>#VALUE!</v>
      </c>
      <c r="B233" s="201" t="e">
        <f aca="false">A234-A233</f>
        <v>#VALUE!</v>
      </c>
      <c r="C233" s="202" t="e">
        <f aca="false">IF(Control!$F$18="Physical",Model!A234+24,Model!A234)</f>
        <v>#VALUE!</v>
      </c>
      <c r="E233" s="203" t="e">
        <f aca="false">IF($A233&lt;End_Date,IF(Control!$C$20="Flat",Control!$C$21,VLOOKUP(Model!$A233,Euro!$B$29:$D$182,3)),0)</f>
        <v>#VALUE!</v>
      </c>
      <c r="F233" s="203" t="e">
        <f aca="false">E233*B233</f>
        <v>#VALUE!</v>
      </c>
      <c r="H233" s="204" t="e">
        <f aca="false">IF(Control!$C$27="Mid",VLOOKUP($A233,CurveFetch!$D$8:$F$367,3),VLOOKUP($A233,Euro!$B$29:$I$182,8))</f>
        <v>#VALUE!</v>
      </c>
      <c r="I233" s="204"/>
      <c r="J233" s="204" t="e">
        <f aca="false">IF($J$4="Mid",VLOOKUP($A233,Curve_Fetch,VLOOKUP(Control!$AJ$10,Control!$AI$11:$AK$22,3)),VLOOKUP($A233,Euro!$B$29:$M$182,12))</f>
        <v>#VALUE!</v>
      </c>
      <c r="K233" s="205" t="e">
        <f aca="false">IF(Control!$F$18="Physical",IF($K$4="Mid",VLOOKUP($A233,Curve_Fetch,VLOOKUP(Control!$AJ$10,Control!$AI$11:$AL$22,4)),VLOOKUP($A233,Euro!$B$29:$Q$182,16)),0)</f>
        <v>#VALUE!</v>
      </c>
      <c r="L233" s="204" t="e">
        <f aca="false">SUM(J233:K233)</f>
        <v>#VALUE!</v>
      </c>
      <c r="M233" s="204"/>
      <c r="N233" s="206" t="e">
        <f aca="false">L233+H233</f>
        <v>#VALUE!</v>
      </c>
      <c r="O233" s="206" t="e">
        <f aca="false">N233+Control!$C$39</f>
        <v>#VALUE!</v>
      </c>
      <c r="P233" s="207" t="e">
        <f aca="false">VLOOKUP($A233,CurveFetch!$D$8:$E$367,2)</f>
        <v>#VALUE!</v>
      </c>
      <c r="Q233" s="208" t="e">
        <f aca="false">P233</f>
        <v>#VALUE!</v>
      </c>
      <c r="R233" s="209" t="e">
        <f aca="true">A233-1-TODAY()</f>
        <v>#VALUE!</v>
      </c>
      <c r="S233" s="210" t="e">
        <f aca="false">VLOOKUP($A233,Curve_Fetch,VLOOKUP(Control!$AJ$10,Control!$AI$11:$AM$22,5))</f>
        <v>#VALUE!</v>
      </c>
      <c r="T233" s="211" t="e">
        <f aca="false">EURO(N233,O233,P233,Q233,S233,R233,IF(Control!$C$38="Call",1,0),0)</f>
        <v>#NAME?</v>
      </c>
      <c r="U233" s="174" t="e">
        <f aca="false">T233*B233*E233</f>
        <v>#VALUE!</v>
      </c>
      <c r="V233" s="212"/>
      <c r="W233" s="213"/>
      <c r="X233" s="213"/>
      <c r="Y233" s="213"/>
      <c r="AA233" s="214"/>
      <c r="AB233" s="214"/>
      <c r="AC233" s="215"/>
      <c r="AD233" s="216"/>
      <c r="AE233" s="217"/>
      <c r="AF233" s="218"/>
      <c r="AG233" s="219"/>
      <c r="AH233" s="220"/>
      <c r="AI233" s="174"/>
      <c r="AJ233" s="171" t="e">
        <f aca="false">Y233-L233</f>
        <v>#VALUE!</v>
      </c>
      <c r="AL233" s="208" t="e">
        <f aca="false">VLOOKUP($C233,Curve_Fetch,2)+Cost_of_Funds</f>
        <v>#VALUE!</v>
      </c>
      <c r="AM233" s="210" t="e">
        <f aca="false">1/(1+AL233/2)^(2*(C233-Val_Date)/365.25)</f>
        <v>#VALUE!</v>
      </c>
      <c r="AO233" s="222" t="e">
        <f aca="false">$B233*$E233*$AM233</f>
        <v>#VALUE!</v>
      </c>
      <c r="AP233" s="222"/>
      <c r="AQ233" s="222" t="e">
        <f aca="false">H233*AO233</f>
        <v>#VALUE!</v>
      </c>
      <c r="AR233" s="222"/>
      <c r="AS233" s="174" t="e">
        <f aca="false">J233*$AO233</f>
        <v>#VALUE!</v>
      </c>
      <c r="AT233" s="174" t="e">
        <f aca="false">K233*$AO233</f>
        <v>#VALUE!</v>
      </c>
      <c r="AU233" s="174" t="e">
        <f aca="false">L233*$AO233</f>
        <v>#VALUE!</v>
      </c>
      <c r="AV233" s="174"/>
      <c r="AW233" s="174"/>
      <c r="AY233" s="220"/>
      <c r="AZ233" s="220"/>
      <c r="BA233" s="223"/>
      <c r="BC233" s="220"/>
      <c r="BE233" s="206"/>
    </row>
    <row r="234" customFormat="false" ht="12.75" hidden="false" customHeight="false" outlineLevel="0" collapsed="false">
      <c r="A234" s="167" t="e">
        <f aca="false">([1]!edate,A233,1)</f>
        <v>#VALUE!</v>
      </c>
      <c r="B234" s="201" t="e">
        <f aca="false">A235-A234</f>
        <v>#VALUE!</v>
      </c>
      <c r="C234" s="202" t="e">
        <f aca="false">IF(Control!$F$18="Physical",Model!A235+24,Model!A235)</f>
        <v>#VALUE!</v>
      </c>
      <c r="E234" s="203" t="e">
        <f aca="false">IF($A234&lt;End_Date,IF(Control!$C$20="Flat",Control!$C$21,VLOOKUP(Model!$A234,Euro!$B$29:$D$182,3)),0)</f>
        <v>#VALUE!</v>
      </c>
      <c r="F234" s="203" t="e">
        <f aca="false">E234*B234</f>
        <v>#VALUE!</v>
      </c>
      <c r="H234" s="204" t="e">
        <f aca="false">IF(Control!$C$27="Mid",VLOOKUP($A234,CurveFetch!$D$8:$F$367,3),VLOOKUP($A234,Euro!$B$29:$I$182,8))</f>
        <v>#VALUE!</v>
      </c>
      <c r="I234" s="204"/>
      <c r="J234" s="204" t="e">
        <f aca="false">IF($J$4="Mid",VLOOKUP($A234,Curve_Fetch,VLOOKUP(Control!$AJ$10,Control!$AI$11:$AK$22,3)),VLOOKUP($A234,Euro!$B$29:$M$182,12))</f>
        <v>#VALUE!</v>
      </c>
      <c r="K234" s="205" t="e">
        <f aca="false">IF(Control!$F$18="Physical",IF($K$4="Mid",VLOOKUP($A234,Curve_Fetch,VLOOKUP(Control!$AJ$10,Control!$AI$11:$AL$22,4)),VLOOKUP($A234,Euro!$B$29:$Q$182,16)),0)</f>
        <v>#VALUE!</v>
      </c>
      <c r="L234" s="204" t="e">
        <f aca="false">SUM(J234:K234)</f>
        <v>#VALUE!</v>
      </c>
      <c r="M234" s="204"/>
      <c r="N234" s="206" t="e">
        <f aca="false">L234+H234</f>
        <v>#VALUE!</v>
      </c>
      <c r="O234" s="206" t="e">
        <f aca="false">N234+Control!$C$39</f>
        <v>#VALUE!</v>
      </c>
      <c r="P234" s="207" t="e">
        <f aca="false">VLOOKUP($A234,CurveFetch!$D$8:$E$367,2)</f>
        <v>#VALUE!</v>
      </c>
      <c r="Q234" s="208" t="e">
        <f aca="false">P234</f>
        <v>#VALUE!</v>
      </c>
      <c r="R234" s="209" t="e">
        <f aca="true">A234-1-TODAY()</f>
        <v>#VALUE!</v>
      </c>
      <c r="S234" s="210" t="e">
        <f aca="false">VLOOKUP($A234,Curve_Fetch,VLOOKUP(Control!$AJ$10,Control!$AI$11:$AM$22,5))</f>
        <v>#VALUE!</v>
      </c>
      <c r="T234" s="211" t="e">
        <f aca="false">EURO(N234,O234,P234,Q234,S234,R234,IF(Control!$C$38="Call",1,0),0)</f>
        <v>#NAME?</v>
      </c>
      <c r="U234" s="174" t="e">
        <f aca="false">T234*B234*E234</f>
        <v>#VALUE!</v>
      </c>
      <c r="V234" s="212"/>
      <c r="W234" s="213"/>
      <c r="X234" s="213"/>
      <c r="Y234" s="213"/>
      <c r="AA234" s="214"/>
      <c r="AB234" s="214"/>
      <c r="AC234" s="215"/>
      <c r="AD234" s="216"/>
      <c r="AE234" s="217"/>
      <c r="AF234" s="218"/>
      <c r="AG234" s="219"/>
      <c r="AH234" s="220"/>
      <c r="AI234" s="174"/>
      <c r="AJ234" s="171" t="e">
        <f aca="false">Y234-L234</f>
        <v>#VALUE!</v>
      </c>
      <c r="AL234" s="208" t="e">
        <f aca="false">VLOOKUP($C234,Curve_Fetch,2)+Cost_of_Funds</f>
        <v>#VALUE!</v>
      </c>
      <c r="AM234" s="210" t="e">
        <f aca="false">1/(1+AL234/2)^(2*(C234-Val_Date)/365.25)</f>
        <v>#VALUE!</v>
      </c>
      <c r="AO234" s="222" t="e">
        <f aca="false">$B234*$E234*$AM234</f>
        <v>#VALUE!</v>
      </c>
      <c r="AP234" s="222"/>
      <c r="AQ234" s="222" t="e">
        <f aca="false">H234*AO234</f>
        <v>#VALUE!</v>
      </c>
      <c r="AR234" s="222"/>
      <c r="AS234" s="174" t="e">
        <f aca="false">J234*$AO234</f>
        <v>#VALUE!</v>
      </c>
      <c r="AT234" s="174" t="e">
        <f aca="false">K234*$AO234</f>
        <v>#VALUE!</v>
      </c>
      <c r="AU234" s="174" t="e">
        <f aca="false">L234*$AO234</f>
        <v>#VALUE!</v>
      </c>
      <c r="AV234" s="174"/>
      <c r="AW234" s="174"/>
      <c r="AY234" s="220"/>
      <c r="AZ234" s="220"/>
      <c r="BA234" s="223"/>
      <c r="BC234" s="220"/>
      <c r="BE234" s="206"/>
    </row>
    <row r="235" customFormat="false" ht="12.75" hidden="false" customHeight="false" outlineLevel="0" collapsed="false">
      <c r="A235" s="167" t="e">
        <f aca="false">([1]!edate,A234,1)</f>
        <v>#VALUE!</v>
      </c>
      <c r="B235" s="201" t="e">
        <f aca="false">A236-A235</f>
        <v>#VALUE!</v>
      </c>
      <c r="C235" s="202" t="e">
        <f aca="false">IF(Control!$F$18="Physical",Model!A236+24,Model!A236)</f>
        <v>#VALUE!</v>
      </c>
      <c r="E235" s="203" t="e">
        <f aca="false">IF($A235&lt;End_Date,IF(Control!$C$20="Flat",Control!$C$21,VLOOKUP(Model!$A235,Euro!$B$29:$D$182,3)),0)</f>
        <v>#VALUE!</v>
      </c>
      <c r="F235" s="203" t="e">
        <f aca="false">E235*B235</f>
        <v>#VALUE!</v>
      </c>
      <c r="H235" s="204" t="e">
        <f aca="false">IF(Control!$C$27="Mid",VLOOKUP($A235,CurveFetch!$D$8:$F$367,3),VLOOKUP($A235,Euro!$B$29:$I$182,8))</f>
        <v>#VALUE!</v>
      </c>
      <c r="I235" s="204"/>
      <c r="J235" s="204" t="e">
        <f aca="false">IF($J$4="Mid",VLOOKUP($A235,Curve_Fetch,VLOOKUP(Control!$AJ$10,Control!$AI$11:$AK$22,3)),VLOOKUP($A235,Euro!$B$29:$M$182,12))</f>
        <v>#VALUE!</v>
      </c>
      <c r="K235" s="205" t="e">
        <f aca="false">IF(Control!$F$18="Physical",IF($K$4="Mid",VLOOKUP($A235,Curve_Fetch,VLOOKUP(Control!$AJ$10,Control!$AI$11:$AL$22,4)),VLOOKUP($A235,Euro!$B$29:$Q$182,16)),0)</f>
        <v>#VALUE!</v>
      </c>
      <c r="L235" s="204" t="e">
        <f aca="false">SUM(J235:K235)</f>
        <v>#VALUE!</v>
      </c>
      <c r="M235" s="204"/>
      <c r="N235" s="206" t="e">
        <f aca="false">L235+H235</f>
        <v>#VALUE!</v>
      </c>
      <c r="O235" s="206" t="e">
        <f aca="false">N235+Control!$C$39</f>
        <v>#VALUE!</v>
      </c>
      <c r="P235" s="207" t="e">
        <f aca="false">VLOOKUP($A235,CurveFetch!$D$8:$E$367,2)</f>
        <v>#VALUE!</v>
      </c>
      <c r="Q235" s="208" t="e">
        <f aca="false">P235</f>
        <v>#VALUE!</v>
      </c>
      <c r="R235" s="209" t="e">
        <f aca="true">A235-1-TODAY()</f>
        <v>#VALUE!</v>
      </c>
      <c r="S235" s="210" t="e">
        <f aca="false">VLOOKUP($A235,Curve_Fetch,VLOOKUP(Control!$AJ$10,Control!$AI$11:$AM$22,5))</f>
        <v>#VALUE!</v>
      </c>
      <c r="T235" s="211" t="e">
        <f aca="false">EURO(N235,O235,P235,Q235,S235,R235,IF(Control!$C$38="Call",1,0),0)</f>
        <v>#NAME?</v>
      </c>
      <c r="U235" s="174" t="e">
        <f aca="false">T235*B235*E235</f>
        <v>#VALUE!</v>
      </c>
      <c r="V235" s="212"/>
      <c r="W235" s="213"/>
      <c r="X235" s="213"/>
      <c r="Y235" s="213"/>
      <c r="AA235" s="214"/>
      <c r="AB235" s="214"/>
      <c r="AC235" s="215"/>
      <c r="AD235" s="216"/>
      <c r="AE235" s="217"/>
      <c r="AF235" s="218"/>
      <c r="AG235" s="219"/>
      <c r="AH235" s="220"/>
      <c r="AI235" s="174"/>
      <c r="AJ235" s="171" t="e">
        <f aca="false">Y235-L235</f>
        <v>#VALUE!</v>
      </c>
      <c r="AL235" s="208" t="e">
        <f aca="false">VLOOKUP($C235,Curve_Fetch,2)+Cost_of_Funds</f>
        <v>#VALUE!</v>
      </c>
      <c r="AM235" s="210" t="e">
        <f aca="false">1/(1+AL235/2)^(2*(C235-Val_Date)/365.25)</f>
        <v>#VALUE!</v>
      </c>
      <c r="AO235" s="222" t="e">
        <f aca="false">$B235*$E235*$AM235</f>
        <v>#VALUE!</v>
      </c>
      <c r="AP235" s="222"/>
      <c r="AQ235" s="222" t="e">
        <f aca="false">H235*AO235</f>
        <v>#VALUE!</v>
      </c>
      <c r="AR235" s="222"/>
      <c r="AS235" s="174" t="e">
        <f aca="false">J235*$AO235</f>
        <v>#VALUE!</v>
      </c>
      <c r="AT235" s="174" t="e">
        <f aca="false">K235*$AO235</f>
        <v>#VALUE!</v>
      </c>
      <c r="AU235" s="174" t="e">
        <f aca="false">L235*$AO235</f>
        <v>#VALUE!</v>
      </c>
      <c r="AV235" s="174"/>
      <c r="AW235" s="174"/>
      <c r="AY235" s="220"/>
      <c r="AZ235" s="220"/>
      <c r="BA235" s="223"/>
      <c r="BC235" s="220"/>
      <c r="BE235" s="206"/>
    </row>
    <row r="236" customFormat="false" ht="12.75" hidden="false" customHeight="false" outlineLevel="0" collapsed="false">
      <c r="A236" s="167" t="e">
        <f aca="false">([1]!edate,A235,1)</f>
        <v>#VALUE!</v>
      </c>
      <c r="B236" s="201" t="e">
        <f aca="false">A237-A236</f>
        <v>#VALUE!</v>
      </c>
      <c r="C236" s="202" t="e">
        <f aca="false">IF(Control!$F$18="Physical",Model!A237+24,Model!A237)</f>
        <v>#VALUE!</v>
      </c>
      <c r="E236" s="203" t="e">
        <f aca="false">IF($A236&lt;End_Date,IF(Control!$C$20="Flat",Control!$C$21,VLOOKUP(Model!$A236,Euro!$B$29:$D$182,3)),0)</f>
        <v>#VALUE!</v>
      </c>
      <c r="F236" s="203" t="e">
        <f aca="false">E236*B236</f>
        <v>#VALUE!</v>
      </c>
      <c r="H236" s="204" t="e">
        <f aca="false">IF(Control!$C$27="Mid",VLOOKUP($A236,CurveFetch!$D$8:$F$367,3),VLOOKUP($A236,Euro!$B$29:$I$182,8))</f>
        <v>#VALUE!</v>
      </c>
      <c r="I236" s="204"/>
      <c r="J236" s="204" t="e">
        <f aca="false">IF($J$4="Mid",VLOOKUP($A236,Curve_Fetch,VLOOKUP(Control!$AJ$10,Control!$AI$11:$AK$22,3)),VLOOKUP($A236,Euro!$B$29:$M$182,12))</f>
        <v>#VALUE!</v>
      </c>
      <c r="K236" s="205" t="e">
        <f aca="false">IF(Control!$F$18="Physical",IF($K$4="Mid",VLOOKUP($A236,Curve_Fetch,VLOOKUP(Control!$AJ$10,Control!$AI$11:$AL$22,4)),VLOOKUP($A236,Euro!$B$29:$Q$182,16)),0)</f>
        <v>#VALUE!</v>
      </c>
      <c r="L236" s="204" t="e">
        <f aca="false">SUM(J236:K236)</f>
        <v>#VALUE!</v>
      </c>
      <c r="M236" s="204"/>
      <c r="N236" s="206" t="e">
        <f aca="false">L236+H236</f>
        <v>#VALUE!</v>
      </c>
      <c r="O236" s="206" t="e">
        <f aca="false">N236+Control!$C$39</f>
        <v>#VALUE!</v>
      </c>
      <c r="P236" s="207" t="e">
        <f aca="false">VLOOKUP($A236,CurveFetch!$D$8:$E$367,2)</f>
        <v>#VALUE!</v>
      </c>
      <c r="Q236" s="208" t="e">
        <f aca="false">P236</f>
        <v>#VALUE!</v>
      </c>
      <c r="R236" s="209" t="e">
        <f aca="true">A236-1-TODAY()</f>
        <v>#VALUE!</v>
      </c>
      <c r="S236" s="210" t="e">
        <f aca="false">VLOOKUP($A236,Curve_Fetch,VLOOKUP(Control!$AJ$10,Control!$AI$11:$AM$22,5))</f>
        <v>#VALUE!</v>
      </c>
      <c r="T236" s="211" t="e">
        <f aca="false">EURO(N236,O236,P236,Q236,S236,R236,IF(Control!$C$38="Call",1,0),0)</f>
        <v>#NAME?</v>
      </c>
      <c r="U236" s="174" t="e">
        <f aca="false">T236*B236*E236</f>
        <v>#VALUE!</v>
      </c>
      <c r="V236" s="212"/>
      <c r="W236" s="213"/>
      <c r="X236" s="213"/>
      <c r="Y236" s="213"/>
      <c r="AA236" s="214"/>
      <c r="AB236" s="214"/>
      <c r="AC236" s="215"/>
      <c r="AD236" s="216"/>
      <c r="AE236" s="217"/>
      <c r="AF236" s="218"/>
      <c r="AG236" s="219"/>
      <c r="AH236" s="220"/>
      <c r="AI236" s="174"/>
      <c r="AJ236" s="171" t="e">
        <f aca="false">Y236-L236</f>
        <v>#VALUE!</v>
      </c>
      <c r="AL236" s="208" t="e">
        <f aca="false">VLOOKUP($C236,Curve_Fetch,2)+Cost_of_Funds</f>
        <v>#VALUE!</v>
      </c>
      <c r="AM236" s="210" t="e">
        <f aca="false">1/(1+AL236/2)^(2*(C236-Val_Date)/365.25)</f>
        <v>#VALUE!</v>
      </c>
      <c r="AO236" s="222" t="e">
        <f aca="false">$B236*$E236*$AM236</f>
        <v>#VALUE!</v>
      </c>
      <c r="AP236" s="222"/>
      <c r="AQ236" s="222" t="e">
        <f aca="false">H236*AO236</f>
        <v>#VALUE!</v>
      </c>
      <c r="AR236" s="222"/>
      <c r="AS236" s="174" t="e">
        <f aca="false">J236*$AO236</f>
        <v>#VALUE!</v>
      </c>
      <c r="AT236" s="174" t="e">
        <f aca="false">K236*$AO236</f>
        <v>#VALUE!</v>
      </c>
      <c r="AU236" s="174" t="e">
        <f aca="false">L236*$AO236</f>
        <v>#VALUE!</v>
      </c>
      <c r="AV236" s="174"/>
      <c r="AW236" s="174"/>
      <c r="AY236" s="220"/>
      <c r="AZ236" s="220"/>
      <c r="BA236" s="223"/>
      <c r="BC236" s="220"/>
      <c r="BE236" s="206"/>
    </row>
    <row r="237" customFormat="false" ht="12.75" hidden="false" customHeight="false" outlineLevel="0" collapsed="false">
      <c r="A237" s="167" t="e">
        <f aca="false">([1]!edate,A236,1)</f>
        <v>#VALUE!</v>
      </c>
      <c r="B237" s="201" t="e">
        <f aca="false">A238-A237</f>
        <v>#VALUE!</v>
      </c>
      <c r="C237" s="202" t="e">
        <f aca="false">IF(Control!$F$18="Physical",Model!A238+24,Model!A238)</f>
        <v>#VALUE!</v>
      </c>
      <c r="E237" s="203" t="e">
        <f aca="false">IF($A237&lt;End_Date,IF(Control!$C$20="Flat",Control!$C$21,VLOOKUP(Model!$A237,Euro!$B$29:$D$182,3)),0)</f>
        <v>#VALUE!</v>
      </c>
      <c r="F237" s="203" t="e">
        <f aca="false">E237*B237</f>
        <v>#VALUE!</v>
      </c>
      <c r="H237" s="204" t="e">
        <f aca="false">IF(Control!$C$27="Mid",VLOOKUP($A237,CurveFetch!$D$8:$F$367,3),VLOOKUP($A237,Euro!$B$29:$I$182,8))</f>
        <v>#VALUE!</v>
      </c>
      <c r="I237" s="204"/>
      <c r="J237" s="204" t="e">
        <f aca="false">IF($J$4="Mid",VLOOKUP($A237,Curve_Fetch,VLOOKUP(Control!$AJ$10,Control!$AI$11:$AK$22,3)),VLOOKUP($A237,Euro!$B$29:$M$182,12))</f>
        <v>#VALUE!</v>
      </c>
      <c r="K237" s="205" t="e">
        <f aca="false">IF(Control!$F$18="Physical",IF($K$4="Mid",VLOOKUP($A237,Curve_Fetch,VLOOKUP(Control!$AJ$10,Control!$AI$11:$AL$22,4)),VLOOKUP($A237,Euro!$B$29:$Q$182,16)),0)</f>
        <v>#VALUE!</v>
      </c>
      <c r="L237" s="204" t="e">
        <f aca="false">SUM(J237:K237)</f>
        <v>#VALUE!</v>
      </c>
      <c r="M237" s="204"/>
      <c r="N237" s="206" t="e">
        <f aca="false">L237+H237</f>
        <v>#VALUE!</v>
      </c>
      <c r="O237" s="206" t="e">
        <f aca="false">N237+Control!$C$39</f>
        <v>#VALUE!</v>
      </c>
      <c r="P237" s="207" t="e">
        <f aca="false">VLOOKUP($A237,CurveFetch!$D$8:$E$367,2)</f>
        <v>#VALUE!</v>
      </c>
      <c r="Q237" s="208" t="e">
        <f aca="false">P237</f>
        <v>#VALUE!</v>
      </c>
      <c r="R237" s="209" t="e">
        <f aca="true">A237-1-TODAY()</f>
        <v>#VALUE!</v>
      </c>
      <c r="S237" s="210" t="e">
        <f aca="false">VLOOKUP($A237,Curve_Fetch,VLOOKUP(Control!$AJ$10,Control!$AI$11:$AM$22,5))</f>
        <v>#VALUE!</v>
      </c>
      <c r="T237" s="211" t="e">
        <f aca="false">EURO(N237,O237,P237,Q237,S237,R237,IF(Control!$C$38="Call",1,0),0)</f>
        <v>#NAME?</v>
      </c>
      <c r="U237" s="174" t="e">
        <f aca="false">T237*B237*E237</f>
        <v>#VALUE!</v>
      </c>
      <c r="V237" s="212"/>
      <c r="W237" s="213"/>
      <c r="X237" s="213"/>
      <c r="Y237" s="213"/>
      <c r="AA237" s="214"/>
      <c r="AB237" s="214"/>
      <c r="AC237" s="215"/>
      <c r="AD237" s="216"/>
      <c r="AE237" s="217"/>
      <c r="AF237" s="218"/>
      <c r="AG237" s="219"/>
      <c r="AH237" s="220"/>
      <c r="AI237" s="174"/>
      <c r="AJ237" s="171" t="e">
        <f aca="false">Y237-L237</f>
        <v>#VALUE!</v>
      </c>
      <c r="AL237" s="208" t="e">
        <f aca="false">VLOOKUP($C237,Curve_Fetch,2)+Cost_of_Funds</f>
        <v>#VALUE!</v>
      </c>
      <c r="AM237" s="210" t="e">
        <f aca="false">1/(1+AL237/2)^(2*(C237-Val_Date)/365.25)</f>
        <v>#VALUE!</v>
      </c>
      <c r="AO237" s="222" t="e">
        <f aca="false">$B237*$E237*$AM237</f>
        <v>#VALUE!</v>
      </c>
      <c r="AP237" s="222"/>
      <c r="AQ237" s="222" t="e">
        <f aca="false">H237*AO237</f>
        <v>#VALUE!</v>
      </c>
      <c r="AR237" s="222"/>
      <c r="AS237" s="174" t="e">
        <f aca="false">J237*$AO237</f>
        <v>#VALUE!</v>
      </c>
      <c r="AT237" s="174" t="e">
        <f aca="false">K237*$AO237</f>
        <v>#VALUE!</v>
      </c>
      <c r="AU237" s="174" t="e">
        <f aca="false">L237*$AO237</f>
        <v>#VALUE!</v>
      </c>
      <c r="AV237" s="174"/>
      <c r="AW237" s="174"/>
      <c r="AY237" s="220"/>
      <c r="AZ237" s="220"/>
      <c r="BA237" s="223"/>
      <c r="BC237" s="220"/>
      <c r="BE237" s="206"/>
    </row>
    <row r="238" customFormat="false" ht="12.75" hidden="false" customHeight="false" outlineLevel="0" collapsed="false">
      <c r="A238" s="167" t="e">
        <f aca="false">([1]!edate,A237,1)</f>
        <v>#VALUE!</v>
      </c>
      <c r="B238" s="201" t="e">
        <f aca="false">A239-A238</f>
        <v>#VALUE!</v>
      </c>
      <c r="C238" s="202" t="e">
        <f aca="false">IF(Control!$F$18="Physical",Model!A239+24,Model!A239)</f>
        <v>#VALUE!</v>
      </c>
      <c r="E238" s="203" t="e">
        <f aca="false">IF($A238&lt;End_Date,IF(Control!$C$20="Flat",Control!$C$21,VLOOKUP(Model!$A238,Euro!$B$29:$D$182,3)),0)</f>
        <v>#VALUE!</v>
      </c>
      <c r="F238" s="203" t="e">
        <f aca="false">E238*B238</f>
        <v>#VALUE!</v>
      </c>
      <c r="H238" s="204" t="e">
        <f aca="false">IF(Control!$C$27="Mid",VLOOKUP($A238,CurveFetch!$D$8:$F$367,3),VLOOKUP($A238,Euro!$B$29:$I$182,8))</f>
        <v>#VALUE!</v>
      </c>
      <c r="I238" s="204"/>
      <c r="J238" s="204" t="e">
        <f aca="false">IF($J$4="Mid",VLOOKUP($A238,Curve_Fetch,VLOOKUP(Control!$AJ$10,Control!$AI$11:$AK$22,3)),VLOOKUP($A238,Euro!$B$29:$M$182,12))</f>
        <v>#VALUE!</v>
      </c>
      <c r="K238" s="205" t="e">
        <f aca="false">IF(Control!$F$18="Physical",IF($K$4="Mid",VLOOKUP($A238,Curve_Fetch,VLOOKUP(Control!$AJ$10,Control!$AI$11:$AL$22,4)),VLOOKUP($A238,Euro!$B$29:$Q$182,16)),0)</f>
        <v>#VALUE!</v>
      </c>
      <c r="L238" s="204" t="e">
        <f aca="false">SUM(J238:K238)</f>
        <v>#VALUE!</v>
      </c>
      <c r="M238" s="204"/>
      <c r="N238" s="206" t="e">
        <f aca="false">L238+H238</f>
        <v>#VALUE!</v>
      </c>
      <c r="O238" s="206" t="e">
        <f aca="false">N238+Control!$C$39</f>
        <v>#VALUE!</v>
      </c>
      <c r="P238" s="207" t="e">
        <f aca="false">VLOOKUP($A238,CurveFetch!$D$8:$E$367,2)</f>
        <v>#VALUE!</v>
      </c>
      <c r="Q238" s="208" t="e">
        <f aca="false">P238</f>
        <v>#VALUE!</v>
      </c>
      <c r="R238" s="209" t="e">
        <f aca="true">A238-1-TODAY()</f>
        <v>#VALUE!</v>
      </c>
      <c r="S238" s="210" t="e">
        <f aca="false">VLOOKUP($A238,Curve_Fetch,VLOOKUP(Control!$AJ$10,Control!$AI$11:$AM$22,5))</f>
        <v>#VALUE!</v>
      </c>
      <c r="T238" s="211" t="e">
        <f aca="false">EURO(N238,O238,P238,Q238,S238,R238,IF(Control!$C$38="Call",1,0),0)</f>
        <v>#NAME?</v>
      </c>
      <c r="U238" s="174" t="e">
        <f aca="false">T238*B238*E238</f>
        <v>#VALUE!</v>
      </c>
      <c r="V238" s="212"/>
      <c r="W238" s="213"/>
      <c r="X238" s="213"/>
      <c r="Y238" s="213"/>
      <c r="AA238" s="214"/>
      <c r="AB238" s="214"/>
      <c r="AC238" s="215"/>
      <c r="AD238" s="216"/>
      <c r="AE238" s="217"/>
      <c r="AF238" s="218"/>
      <c r="AG238" s="219"/>
      <c r="AH238" s="220"/>
      <c r="AI238" s="174"/>
      <c r="AJ238" s="171" t="e">
        <f aca="false">Y238-L238</f>
        <v>#VALUE!</v>
      </c>
      <c r="AL238" s="208" t="e">
        <f aca="false">VLOOKUP($C238,Curve_Fetch,2)+Cost_of_Funds</f>
        <v>#VALUE!</v>
      </c>
      <c r="AM238" s="210" t="e">
        <f aca="false">1/(1+AL238/2)^(2*(C238-Val_Date)/365.25)</f>
        <v>#VALUE!</v>
      </c>
      <c r="AO238" s="222" t="e">
        <f aca="false">$B238*$E238*$AM238</f>
        <v>#VALUE!</v>
      </c>
      <c r="AP238" s="222"/>
      <c r="AQ238" s="222" t="e">
        <f aca="false">H238*AO238</f>
        <v>#VALUE!</v>
      </c>
      <c r="AR238" s="222"/>
      <c r="AS238" s="174" t="e">
        <f aca="false">J238*$AO238</f>
        <v>#VALUE!</v>
      </c>
      <c r="AT238" s="174" t="e">
        <f aca="false">K238*$AO238</f>
        <v>#VALUE!</v>
      </c>
      <c r="AU238" s="174" t="e">
        <f aca="false">L238*$AO238</f>
        <v>#VALUE!</v>
      </c>
      <c r="AV238" s="174"/>
      <c r="AW238" s="174"/>
      <c r="AY238" s="220"/>
      <c r="AZ238" s="220"/>
      <c r="BA238" s="223"/>
      <c r="BC238" s="220"/>
      <c r="BE238" s="206"/>
    </row>
    <row r="239" customFormat="false" ht="12.75" hidden="false" customHeight="false" outlineLevel="0" collapsed="false">
      <c r="A239" s="167" t="e">
        <f aca="false">([1]!edate,A238,1)</f>
        <v>#VALUE!</v>
      </c>
      <c r="B239" s="201" t="e">
        <f aca="false">A240-A239</f>
        <v>#VALUE!</v>
      </c>
      <c r="C239" s="202" t="e">
        <f aca="false">IF(Control!$F$18="Physical",Model!A240+24,Model!A240)</f>
        <v>#VALUE!</v>
      </c>
      <c r="E239" s="203" t="e">
        <f aca="false">IF($A239&lt;End_Date,IF(Control!$C$20="Flat",Control!$C$21,VLOOKUP(Model!$A239,Euro!$B$29:$D$182,3)),0)</f>
        <v>#VALUE!</v>
      </c>
      <c r="F239" s="203" t="e">
        <f aca="false">E239*B239</f>
        <v>#VALUE!</v>
      </c>
      <c r="H239" s="204" t="e">
        <f aca="false">IF(Control!$C$27="Mid",VLOOKUP($A239,CurveFetch!$D$8:$F$367,3),VLOOKUP($A239,Euro!$B$29:$I$182,8))</f>
        <v>#VALUE!</v>
      </c>
      <c r="I239" s="204"/>
      <c r="J239" s="204" t="e">
        <f aca="false">IF($J$4="Mid",VLOOKUP($A239,Curve_Fetch,VLOOKUP(Control!$AJ$10,Control!$AI$11:$AK$22,3)),VLOOKUP($A239,Euro!$B$29:$M$182,12))</f>
        <v>#VALUE!</v>
      </c>
      <c r="K239" s="205" t="e">
        <f aca="false">IF(Control!$F$18="Physical",IF($K$4="Mid",VLOOKUP($A239,Curve_Fetch,VLOOKUP(Control!$AJ$10,Control!$AI$11:$AL$22,4)),VLOOKUP($A239,Euro!$B$29:$Q$182,16)),0)</f>
        <v>#VALUE!</v>
      </c>
      <c r="L239" s="204" t="e">
        <f aca="false">SUM(J239:K239)</f>
        <v>#VALUE!</v>
      </c>
      <c r="M239" s="204"/>
      <c r="N239" s="206" t="e">
        <f aca="false">L239+H239</f>
        <v>#VALUE!</v>
      </c>
      <c r="O239" s="206" t="e">
        <f aca="false">N239+Control!$C$39</f>
        <v>#VALUE!</v>
      </c>
      <c r="P239" s="207" t="e">
        <f aca="false">VLOOKUP($A239,CurveFetch!$D$8:$E$367,2)</f>
        <v>#VALUE!</v>
      </c>
      <c r="Q239" s="208" t="e">
        <f aca="false">P239</f>
        <v>#VALUE!</v>
      </c>
      <c r="R239" s="209" t="e">
        <f aca="true">A239-1-TODAY()</f>
        <v>#VALUE!</v>
      </c>
      <c r="S239" s="210" t="e">
        <f aca="false">VLOOKUP($A239,Curve_Fetch,VLOOKUP(Control!$AJ$10,Control!$AI$11:$AM$22,5))</f>
        <v>#VALUE!</v>
      </c>
      <c r="T239" s="211" t="e">
        <f aca="false">EURO(N239,O239,P239,Q239,S239,R239,IF(Control!$C$38="Call",1,0),0)</f>
        <v>#NAME?</v>
      </c>
      <c r="U239" s="174" t="e">
        <f aca="false">T239*B239*E239</f>
        <v>#VALUE!</v>
      </c>
      <c r="V239" s="212"/>
      <c r="W239" s="213"/>
      <c r="X239" s="213"/>
      <c r="Y239" s="213"/>
      <c r="AA239" s="214"/>
      <c r="AB239" s="214"/>
      <c r="AC239" s="215"/>
      <c r="AD239" s="216"/>
      <c r="AE239" s="217"/>
      <c r="AF239" s="218"/>
      <c r="AG239" s="219"/>
      <c r="AH239" s="220"/>
      <c r="AI239" s="174"/>
      <c r="AJ239" s="171" t="e">
        <f aca="false">Y239-L239</f>
        <v>#VALUE!</v>
      </c>
      <c r="AL239" s="208" t="e">
        <f aca="false">VLOOKUP($C239,Curve_Fetch,2)+Cost_of_Funds</f>
        <v>#VALUE!</v>
      </c>
      <c r="AM239" s="210" t="e">
        <f aca="false">1/(1+AL239/2)^(2*(C239-Val_Date)/365.25)</f>
        <v>#VALUE!</v>
      </c>
      <c r="AO239" s="222" t="e">
        <f aca="false">$B239*$E239*$AM239</f>
        <v>#VALUE!</v>
      </c>
      <c r="AP239" s="222"/>
      <c r="AQ239" s="222" t="e">
        <f aca="false">H239*AO239</f>
        <v>#VALUE!</v>
      </c>
      <c r="AR239" s="222"/>
      <c r="AS239" s="174" t="e">
        <f aca="false">J239*$AO239</f>
        <v>#VALUE!</v>
      </c>
      <c r="AT239" s="174" t="e">
        <f aca="false">K239*$AO239</f>
        <v>#VALUE!</v>
      </c>
      <c r="AU239" s="174" t="e">
        <f aca="false">L239*$AO239</f>
        <v>#VALUE!</v>
      </c>
      <c r="AV239" s="174"/>
      <c r="AW239" s="174"/>
      <c r="AY239" s="220"/>
      <c r="AZ239" s="220"/>
      <c r="BA239" s="223"/>
      <c r="BC239" s="220"/>
      <c r="BE239" s="206"/>
    </row>
    <row r="240" customFormat="false" ht="12.75" hidden="false" customHeight="false" outlineLevel="0" collapsed="false">
      <c r="A240" s="167" t="e">
        <f aca="false">([1]!edate,A239,1)</f>
        <v>#VALUE!</v>
      </c>
      <c r="B240" s="201" t="e">
        <f aca="false">A241-A240</f>
        <v>#VALUE!</v>
      </c>
      <c r="C240" s="202" t="e">
        <f aca="false">IF(Control!$F$18="Physical",Model!A241+24,Model!A241)</f>
        <v>#VALUE!</v>
      </c>
      <c r="E240" s="203" t="e">
        <f aca="false">IF($A240&lt;End_Date,IF(Control!$C$20="Flat",Control!$C$21,VLOOKUP(Model!$A240,Euro!$B$29:$D$182,3)),0)</f>
        <v>#VALUE!</v>
      </c>
      <c r="F240" s="203" t="e">
        <f aca="false">E240*B240</f>
        <v>#VALUE!</v>
      </c>
      <c r="H240" s="204" t="e">
        <f aca="false">IF(Control!$C$27="Mid",VLOOKUP($A240,CurveFetch!$D$8:$F$367,3),VLOOKUP($A240,Euro!$B$29:$I$182,8))</f>
        <v>#VALUE!</v>
      </c>
      <c r="I240" s="204"/>
      <c r="J240" s="204" t="e">
        <f aca="false">IF($J$4="Mid",VLOOKUP($A240,Curve_Fetch,VLOOKUP(Control!$AJ$10,Control!$AI$11:$AK$22,3)),VLOOKUP($A240,Euro!$B$29:$M$182,12))</f>
        <v>#VALUE!</v>
      </c>
      <c r="K240" s="205" t="e">
        <f aca="false">IF(Control!$F$18="Physical",IF($K$4="Mid",VLOOKUP($A240,Curve_Fetch,VLOOKUP(Control!$AJ$10,Control!$AI$11:$AL$22,4)),VLOOKUP($A240,Euro!$B$29:$Q$182,16)),0)</f>
        <v>#VALUE!</v>
      </c>
      <c r="L240" s="204" t="e">
        <f aca="false">SUM(J240:K240)</f>
        <v>#VALUE!</v>
      </c>
      <c r="M240" s="204"/>
      <c r="N240" s="206" t="e">
        <f aca="false">L240+H240</f>
        <v>#VALUE!</v>
      </c>
      <c r="O240" s="206" t="e">
        <f aca="false">N240+Control!$C$39</f>
        <v>#VALUE!</v>
      </c>
      <c r="P240" s="207" t="e">
        <f aca="false">VLOOKUP($A240,CurveFetch!$D$8:$E$367,2)</f>
        <v>#VALUE!</v>
      </c>
      <c r="Q240" s="208" t="e">
        <f aca="false">P240</f>
        <v>#VALUE!</v>
      </c>
      <c r="R240" s="209" t="e">
        <f aca="true">A240-1-TODAY()</f>
        <v>#VALUE!</v>
      </c>
      <c r="S240" s="210" t="e">
        <f aca="false">VLOOKUP($A240,Curve_Fetch,VLOOKUP(Control!$AJ$10,Control!$AI$11:$AM$22,5))</f>
        <v>#VALUE!</v>
      </c>
      <c r="T240" s="211" t="e">
        <f aca="false">EURO(N240,O240,P240,Q240,S240,R240,IF(Control!$C$38="Call",1,0),0)</f>
        <v>#NAME?</v>
      </c>
      <c r="U240" s="174" t="e">
        <f aca="false">T240*B240*E240</f>
        <v>#VALUE!</v>
      </c>
      <c r="V240" s="212"/>
      <c r="W240" s="213"/>
      <c r="X240" s="213"/>
      <c r="Y240" s="213"/>
      <c r="AA240" s="214"/>
      <c r="AB240" s="214"/>
      <c r="AC240" s="215"/>
      <c r="AD240" s="216"/>
      <c r="AE240" s="217"/>
      <c r="AF240" s="218"/>
      <c r="AG240" s="219"/>
      <c r="AH240" s="220"/>
      <c r="AI240" s="174"/>
      <c r="AJ240" s="171" t="e">
        <f aca="false">Y240-L240</f>
        <v>#VALUE!</v>
      </c>
      <c r="AL240" s="208" t="e">
        <f aca="false">VLOOKUP($C240,Curve_Fetch,2)+Cost_of_Funds</f>
        <v>#VALUE!</v>
      </c>
      <c r="AM240" s="210" t="e">
        <f aca="false">1/(1+AL240/2)^(2*(C240-Val_Date)/365.25)</f>
        <v>#VALUE!</v>
      </c>
      <c r="AO240" s="222" t="e">
        <f aca="false">$B240*$E240*$AM240</f>
        <v>#VALUE!</v>
      </c>
      <c r="AP240" s="222"/>
      <c r="AQ240" s="222" t="e">
        <f aca="false">H240*AO240</f>
        <v>#VALUE!</v>
      </c>
      <c r="AR240" s="222"/>
      <c r="AS240" s="174" t="e">
        <f aca="false">J240*$AO240</f>
        <v>#VALUE!</v>
      </c>
      <c r="AT240" s="174" t="e">
        <f aca="false">K240*$AO240</f>
        <v>#VALUE!</v>
      </c>
      <c r="AU240" s="174" t="e">
        <f aca="false">L240*$AO240</f>
        <v>#VALUE!</v>
      </c>
      <c r="AV240" s="174"/>
      <c r="AW240" s="174"/>
      <c r="AY240" s="220"/>
      <c r="AZ240" s="220"/>
      <c r="BA240" s="223"/>
      <c r="BC240" s="220"/>
      <c r="BE240" s="206"/>
    </row>
    <row r="241" customFormat="false" ht="12.75" hidden="false" customHeight="false" outlineLevel="0" collapsed="false">
      <c r="A241" s="167" t="e">
        <f aca="false">([1]!edate,A240,1)</f>
        <v>#VALUE!</v>
      </c>
      <c r="B241" s="201" t="e">
        <f aca="false">A242-A241</f>
        <v>#VALUE!</v>
      </c>
      <c r="C241" s="202" t="e">
        <f aca="false">IF(Control!$F$18="Physical",Model!A242+24,Model!A242)</f>
        <v>#VALUE!</v>
      </c>
      <c r="E241" s="203" t="e">
        <f aca="false">IF($A241&lt;End_Date,IF(Control!$C$20="Flat",Control!$C$21,VLOOKUP(Model!$A241,Euro!$B$29:$D$182,3)),0)</f>
        <v>#VALUE!</v>
      </c>
      <c r="F241" s="203" t="e">
        <f aca="false">E241*B241</f>
        <v>#VALUE!</v>
      </c>
      <c r="H241" s="204" t="e">
        <f aca="false">IF(Control!$C$27="Mid",VLOOKUP($A241,CurveFetch!$D$8:$F$367,3),VLOOKUP($A241,Euro!$B$29:$I$182,8))</f>
        <v>#VALUE!</v>
      </c>
      <c r="I241" s="204"/>
      <c r="J241" s="204" t="e">
        <f aca="false">IF($J$4="Mid",VLOOKUP($A241,Curve_Fetch,VLOOKUP(Control!$AJ$10,Control!$AI$11:$AK$22,3)),VLOOKUP($A241,Euro!$B$29:$M$182,12))</f>
        <v>#VALUE!</v>
      </c>
      <c r="K241" s="205" t="e">
        <f aca="false">IF(Control!$F$18="Physical",IF($K$4="Mid",VLOOKUP($A241,Curve_Fetch,VLOOKUP(Control!$AJ$10,Control!$AI$11:$AL$22,4)),VLOOKUP($A241,Euro!$B$29:$Q$182,16)),0)</f>
        <v>#VALUE!</v>
      </c>
      <c r="L241" s="204" t="e">
        <f aca="false">SUM(J241:K241)</f>
        <v>#VALUE!</v>
      </c>
      <c r="M241" s="204"/>
      <c r="N241" s="206" t="e">
        <f aca="false">L241+H241</f>
        <v>#VALUE!</v>
      </c>
      <c r="O241" s="206" t="e">
        <f aca="false">N241+Control!$C$39</f>
        <v>#VALUE!</v>
      </c>
      <c r="P241" s="207" t="e">
        <f aca="false">VLOOKUP($A241,CurveFetch!$D$8:$E$367,2)</f>
        <v>#VALUE!</v>
      </c>
      <c r="Q241" s="208" t="e">
        <f aca="false">P241</f>
        <v>#VALUE!</v>
      </c>
      <c r="R241" s="209" t="e">
        <f aca="true">A241-1-TODAY()</f>
        <v>#VALUE!</v>
      </c>
      <c r="S241" s="210" t="e">
        <f aca="false">VLOOKUP($A241,Curve_Fetch,VLOOKUP(Control!$AJ$10,Control!$AI$11:$AM$22,5))</f>
        <v>#VALUE!</v>
      </c>
      <c r="T241" s="211" t="e">
        <f aca="false">EURO(N241,O241,P241,Q241,S241,R241,IF(Control!$C$38="Call",1,0),0)</f>
        <v>#NAME?</v>
      </c>
      <c r="U241" s="174" t="e">
        <f aca="false">T241*B241*E241</f>
        <v>#VALUE!</v>
      </c>
      <c r="V241" s="212"/>
      <c r="W241" s="213"/>
      <c r="X241" s="213"/>
      <c r="Y241" s="213"/>
      <c r="AA241" s="214"/>
      <c r="AB241" s="214"/>
      <c r="AC241" s="215"/>
      <c r="AD241" s="216"/>
      <c r="AE241" s="217"/>
      <c r="AF241" s="218"/>
      <c r="AG241" s="219"/>
      <c r="AH241" s="220"/>
      <c r="AI241" s="174"/>
      <c r="AJ241" s="171" t="e">
        <f aca="false">Y241-L241</f>
        <v>#VALUE!</v>
      </c>
      <c r="AL241" s="208" t="e">
        <f aca="false">VLOOKUP($C241,Curve_Fetch,2)+Cost_of_Funds</f>
        <v>#VALUE!</v>
      </c>
      <c r="AM241" s="210" t="e">
        <f aca="false">1/(1+AL241/2)^(2*(C241-Val_Date)/365.25)</f>
        <v>#VALUE!</v>
      </c>
      <c r="AO241" s="222" t="e">
        <f aca="false">$B241*$E241*$AM241</f>
        <v>#VALUE!</v>
      </c>
      <c r="AP241" s="222"/>
      <c r="AQ241" s="222" t="e">
        <f aca="false">H241*AO241</f>
        <v>#VALUE!</v>
      </c>
      <c r="AR241" s="222"/>
      <c r="AS241" s="174" t="e">
        <f aca="false">J241*$AO241</f>
        <v>#VALUE!</v>
      </c>
      <c r="AT241" s="174" t="e">
        <f aca="false">K241*$AO241</f>
        <v>#VALUE!</v>
      </c>
      <c r="AU241" s="174" t="e">
        <f aca="false">L241*$AO241</f>
        <v>#VALUE!</v>
      </c>
      <c r="AV241" s="174"/>
      <c r="AW241" s="174"/>
      <c r="AY241" s="220"/>
      <c r="AZ241" s="220"/>
      <c r="BA241" s="223"/>
      <c r="BC241" s="220"/>
      <c r="BE241" s="206"/>
    </row>
    <row r="242" customFormat="false" ht="12.75" hidden="false" customHeight="false" outlineLevel="0" collapsed="false">
      <c r="A242" s="167" t="e">
        <f aca="false">([1]!edate,A241,1)</f>
        <v>#VALUE!</v>
      </c>
      <c r="B242" s="201" t="e">
        <f aca="false">A243-A242</f>
        <v>#VALUE!</v>
      </c>
      <c r="C242" s="202" t="e">
        <f aca="false">IF(Control!$F$18="Physical",Model!A243+24,Model!A243)</f>
        <v>#VALUE!</v>
      </c>
      <c r="E242" s="203" t="e">
        <f aca="false">IF($A242&lt;End_Date,IF(Control!$C$20="Flat",Control!$C$21,VLOOKUP(Model!$A242,Euro!$B$29:$D$182,3)),0)</f>
        <v>#VALUE!</v>
      </c>
      <c r="F242" s="203" t="e">
        <f aca="false">E242*B242</f>
        <v>#VALUE!</v>
      </c>
      <c r="H242" s="204" t="e">
        <f aca="false">IF(Control!$C$27="Mid",VLOOKUP($A242,CurveFetch!$D$8:$F$367,3),VLOOKUP($A242,Euro!$B$29:$I$182,8))</f>
        <v>#VALUE!</v>
      </c>
      <c r="I242" s="204"/>
      <c r="J242" s="204" t="e">
        <f aca="false">IF($J$4="Mid",VLOOKUP($A242,Curve_Fetch,VLOOKUP(Control!$AJ$10,Control!$AI$11:$AK$22,3)),VLOOKUP($A242,Euro!$B$29:$M$182,12))</f>
        <v>#VALUE!</v>
      </c>
      <c r="K242" s="205" t="e">
        <f aca="false">IF(Control!$F$18="Physical",IF($K$4="Mid",VLOOKUP($A242,Curve_Fetch,VLOOKUP(Control!$AJ$10,Control!$AI$11:$AL$22,4)),VLOOKUP($A242,Euro!$B$29:$Q$182,16)),0)</f>
        <v>#VALUE!</v>
      </c>
      <c r="L242" s="204" t="e">
        <f aca="false">SUM(J242:K242)</f>
        <v>#VALUE!</v>
      </c>
      <c r="M242" s="204"/>
      <c r="N242" s="206" t="e">
        <f aca="false">L242+H242</f>
        <v>#VALUE!</v>
      </c>
      <c r="O242" s="206" t="e">
        <f aca="false">N242+Control!$C$39</f>
        <v>#VALUE!</v>
      </c>
      <c r="P242" s="207" t="e">
        <f aca="false">VLOOKUP($A242,CurveFetch!$D$8:$E$367,2)</f>
        <v>#VALUE!</v>
      </c>
      <c r="Q242" s="208" t="e">
        <f aca="false">P242</f>
        <v>#VALUE!</v>
      </c>
      <c r="R242" s="209" t="e">
        <f aca="true">A242-1-TODAY()</f>
        <v>#VALUE!</v>
      </c>
      <c r="S242" s="210" t="e">
        <f aca="false">VLOOKUP($A242,Curve_Fetch,VLOOKUP(Control!$AJ$10,Control!$AI$11:$AM$22,5))</f>
        <v>#VALUE!</v>
      </c>
      <c r="T242" s="211" t="e">
        <f aca="false">EURO(N242,O242,P242,Q242,S242,R242,IF(Control!$C$38="Call",1,0),0)</f>
        <v>#NAME?</v>
      </c>
      <c r="U242" s="174" t="e">
        <f aca="false">T242*B242*E242</f>
        <v>#VALUE!</v>
      </c>
      <c r="V242" s="212"/>
      <c r="W242" s="213"/>
      <c r="X242" s="213"/>
      <c r="Y242" s="213"/>
      <c r="AA242" s="214"/>
      <c r="AB242" s="214"/>
      <c r="AC242" s="215"/>
      <c r="AD242" s="216"/>
      <c r="AE242" s="217"/>
      <c r="AF242" s="218"/>
      <c r="AG242" s="219"/>
      <c r="AH242" s="220"/>
      <c r="AI242" s="174"/>
      <c r="AJ242" s="171" t="e">
        <f aca="false">Y242-L242</f>
        <v>#VALUE!</v>
      </c>
      <c r="AL242" s="208" t="e">
        <f aca="false">VLOOKUP($C242,Curve_Fetch,2)+Cost_of_Funds</f>
        <v>#VALUE!</v>
      </c>
      <c r="AM242" s="210" t="e">
        <f aca="false">1/(1+AL242/2)^(2*(C242-Val_Date)/365.25)</f>
        <v>#VALUE!</v>
      </c>
      <c r="AO242" s="222" t="e">
        <f aca="false">$B242*$E242*$AM242</f>
        <v>#VALUE!</v>
      </c>
      <c r="AP242" s="222"/>
      <c r="AQ242" s="222" t="e">
        <f aca="false">H242*AO242</f>
        <v>#VALUE!</v>
      </c>
      <c r="AR242" s="222"/>
      <c r="AS242" s="174" t="e">
        <f aca="false">J242*$AO242</f>
        <v>#VALUE!</v>
      </c>
      <c r="AT242" s="174" t="e">
        <f aca="false">K242*$AO242</f>
        <v>#VALUE!</v>
      </c>
      <c r="AU242" s="174" t="e">
        <f aca="false">L242*$AO242</f>
        <v>#VALUE!</v>
      </c>
      <c r="AV242" s="174"/>
      <c r="AW242" s="174"/>
      <c r="AY242" s="220"/>
      <c r="AZ242" s="220"/>
      <c r="BA242" s="223"/>
      <c r="BC242" s="220"/>
      <c r="BE242" s="206"/>
    </row>
    <row r="243" customFormat="false" ht="12.75" hidden="false" customHeight="false" outlineLevel="0" collapsed="false">
      <c r="A243" s="167" t="e">
        <f aca="false">([1]!edate,A242,1)</f>
        <v>#VALUE!</v>
      </c>
      <c r="B243" s="201" t="e">
        <f aca="false">A244-A243</f>
        <v>#VALUE!</v>
      </c>
      <c r="C243" s="202" t="e">
        <f aca="false">IF(Control!$F$18="Physical",Model!A244+24,Model!A244)</f>
        <v>#VALUE!</v>
      </c>
      <c r="E243" s="203" t="e">
        <f aca="false">IF($A243&lt;End_Date,IF(Control!$C$20="Flat",Control!$C$21,VLOOKUP(Model!$A243,Euro!$B$29:$D$182,3)),0)</f>
        <v>#VALUE!</v>
      </c>
      <c r="F243" s="203" t="e">
        <f aca="false">E243*B243</f>
        <v>#VALUE!</v>
      </c>
      <c r="H243" s="204" t="e">
        <f aca="false">IF(Control!$C$27="Mid",VLOOKUP($A243,CurveFetch!$D$8:$F$367,3),VLOOKUP($A243,Euro!$B$29:$I$182,8))</f>
        <v>#VALUE!</v>
      </c>
      <c r="I243" s="204"/>
      <c r="J243" s="204" t="e">
        <f aca="false">IF($J$4="Mid",VLOOKUP($A243,Curve_Fetch,VLOOKUP(Control!$AJ$10,Control!$AI$11:$AK$22,3)),VLOOKUP($A243,Euro!$B$29:$M$182,12))</f>
        <v>#VALUE!</v>
      </c>
      <c r="K243" s="205" t="e">
        <f aca="false">IF(Control!$F$18="Physical",IF($K$4="Mid",VLOOKUP($A243,Curve_Fetch,VLOOKUP(Control!$AJ$10,Control!$AI$11:$AL$22,4)),VLOOKUP($A243,Euro!$B$29:$Q$182,16)),0)</f>
        <v>#VALUE!</v>
      </c>
      <c r="L243" s="204" t="e">
        <f aca="false">SUM(J243:K243)</f>
        <v>#VALUE!</v>
      </c>
      <c r="M243" s="204"/>
      <c r="N243" s="206" t="e">
        <f aca="false">L243+H243</f>
        <v>#VALUE!</v>
      </c>
      <c r="O243" s="206" t="e">
        <f aca="false">N243+Control!$C$39</f>
        <v>#VALUE!</v>
      </c>
      <c r="P243" s="207" t="e">
        <f aca="false">VLOOKUP($A243,CurveFetch!$D$8:$E$367,2)</f>
        <v>#VALUE!</v>
      </c>
      <c r="Q243" s="208" t="e">
        <f aca="false">P243</f>
        <v>#VALUE!</v>
      </c>
      <c r="R243" s="209" t="e">
        <f aca="true">A243-1-TODAY()</f>
        <v>#VALUE!</v>
      </c>
      <c r="S243" s="210" t="e">
        <f aca="false">VLOOKUP($A243,Curve_Fetch,VLOOKUP(Control!$AJ$10,Control!$AI$11:$AM$22,5))</f>
        <v>#VALUE!</v>
      </c>
      <c r="T243" s="211" t="e">
        <f aca="false">EURO(N243,O243,P243,Q243,S243,R243,IF(Control!$C$38="Call",1,0),0)</f>
        <v>#NAME?</v>
      </c>
      <c r="U243" s="174" t="e">
        <f aca="false">T243*B243*E243</f>
        <v>#VALUE!</v>
      </c>
      <c r="V243" s="212"/>
      <c r="W243" s="213"/>
      <c r="X243" s="213"/>
      <c r="Y243" s="213"/>
      <c r="AA243" s="214"/>
      <c r="AB243" s="214"/>
      <c r="AC243" s="215"/>
      <c r="AD243" s="216"/>
      <c r="AE243" s="217"/>
      <c r="AF243" s="218"/>
      <c r="AG243" s="219"/>
      <c r="AH243" s="220"/>
      <c r="AI243" s="174"/>
      <c r="AJ243" s="171" t="e">
        <f aca="false">Y243-L243</f>
        <v>#VALUE!</v>
      </c>
      <c r="AL243" s="208" t="e">
        <f aca="false">VLOOKUP($C243,Curve_Fetch,2)+Cost_of_Funds</f>
        <v>#VALUE!</v>
      </c>
      <c r="AM243" s="210" t="e">
        <f aca="false">1/(1+AL243/2)^(2*(C243-Val_Date)/365.25)</f>
        <v>#VALUE!</v>
      </c>
      <c r="AO243" s="222" t="e">
        <f aca="false">$B243*$E243*$AM243</f>
        <v>#VALUE!</v>
      </c>
      <c r="AP243" s="222"/>
      <c r="AQ243" s="222" t="e">
        <f aca="false">H243*AO243</f>
        <v>#VALUE!</v>
      </c>
      <c r="AR243" s="222"/>
      <c r="AS243" s="174" t="e">
        <f aca="false">J243*$AO243</f>
        <v>#VALUE!</v>
      </c>
      <c r="AT243" s="174" t="e">
        <f aca="false">K243*$AO243</f>
        <v>#VALUE!</v>
      </c>
      <c r="AU243" s="174" t="e">
        <f aca="false">L243*$AO243</f>
        <v>#VALUE!</v>
      </c>
      <c r="AV243" s="174"/>
      <c r="AW243" s="174"/>
      <c r="AY243" s="220"/>
      <c r="AZ243" s="220"/>
      <c r="BA243" s="223"/>
      <c r="BC243" s="220"/>
      <c r="BE243" s="206"/>
    </row>
    <row r="244" customFormat="false" ht="12.75" hidden="false" customHeight="false" outlineLevel="0" collapsed="false">
      <c r="A244" s="167" t="e">
        <f aca="false">([1]!edate,A243,1)</f>
        <v>#VALUE!</v>
      </c>
      <c r="B244" s="201" t="e">
        <f aca="false">A245-A244</f>
        <v>#VALUE!</v>
      </c>
      <c r="C244" s="202" t="e">
        <f aca="false">IF(Control!$F$18="Physical",Model!A245+24,Model!A245)</f>
        <v>#VALUE!</v>
      </c>
      <c r="E244" s="203" t="e">
        <f aca="false">IF($A244&lt;End_Date,IF(Control!$C$20="Flat",Control!$C$21,VLOOKUP(Model!$A244,Euro!$B$29:$D$182,3)),0)</f>
        <v>#VALUE!</v>
      </c>
      <c r="F244" s="203" t="e">
        <f aca="false">E244*B244</f>
        <v>#VALUE!</v>
      </c>
      <c r="H244" s="204" t="e">
        <f aca="false">IF(Control!$C$27="Mid",VLOOKUP($A244,CurveFetch!$D$8:$F$367,3),VLOOKUP($A244,Euro!$B$29:$I$182,8))</f>
        <v>#VALUE!</v>
      </c>
      <c r="I244" s="204"/>
      <c r="J244" s="204" t="e">
        <f aca="false">IF($J$4="Mid",VLOOKUP($A244,Curve_Fetch,VLOOKUP(Control!$AJ$10,Control!$AI$11:$AK$22,3)),VLOOKUP($A244,Euro!$B$29:$M$182,12))</f>
        <v>#VALUE!</v>
      </c>
      <c r="K244" s="205" t="e">
        <f aca="false">IF(Control!$F$18="Physical",IF($K$4="Mid",VLOOKUP($A244,Curve_Fetch,VLOOKUP(Control!$AJ$10,Control!$AI$11:$AL$22,4)),VLOOKUP($A244,Euro!$B$29:$Q$182,16)),0)</f>
        <v>#VALUE!</v>
      </c>
      <c r="L244" s="204" t="e">
        <f aca="false">SUM(J244:K244)</f>
        <v>#VALUE!</v>
      </c>
      <c r="M244" s="204"/>
      <c r="N244" s="206" t="e">
        <f aca="false">L244+H244</f>
        <v>#VALUE!</v>
      </c>
      <c r="O244" s="206" t="e">
        <f aca="false">N244+Control!$C$39</f>
        <v>#VALUE!</v>
      </c>
      <c r="P244" s="207" t="e">
        <f aca="false">VLOOKUP($A244,CurveFetch!$D$8:$E$367,2)</f>
        <v>#VALUE!</v>
      </c>
      <c r="Q244" s="208" t="e">
        <f aca="false">P244</f>
        <v>#VALUE!</v>
      </c>
      <c r="R244" s="209" t="e">
        <f aca="true">A244-1-TODAY()</f>
        <v>#VALUE!</v>
      </c>
      <c r="S244" s="210" t="e">
        <f aca="false">VLOOKUP($A244,Curve_Fetch,VLOOKUP(Control!$AJ$10,Control!$AI$11:$AM$22,5))</f>
        <v>#VALUE!</v>
      </c>
      <c r="T244" s="211" t="e">
        <f aca="false">EURO(N244,O244,P244,Q244,S244,R244,IF(Control!$C$38="Call",1,0),0)</f>
        <v>#NAME?</v>
      </c>
      <c r="U244" s="174" t="e">
        <f aca="false">T244*B244*E244</f>
        <v>#VALUE!</v>
      </c>
      <c r="V244" s="212"/>
      <c r="W244" s="213"/>
      <c r="X244" s="213"/>
      <c r="Y244" s="213"/>
      <c r="AA244" s="214"/>
      <c r="AB244" s="214"/>
      <c r="AC244" s="215"/>
      <c r="AD244" s="216"/>
      <c r="AE244" s="217"/>
      <c r="AF244" s="218"/>
      <c r="AG244" s="219"/>
      <c r="AH244" s="220"/>
      <c r="AI244" s="174"/>
      <c r="AJ244" s="171" t="e">
        <f aca="false">Y244-L244</f>
        <v>#VALUE!</v>
      </c>
      <c r="AL244" s="208" t="e">
        <f aca="false">VLOOKUP($C244,Curve_Fetch,2)+Cost_of_Funds</f>
        <v>#VALUE!</v>
      </c>
      <c r="AM244" s="210" t="e">
        <f aca="false">1/(1+AL244/2)^(2*(C244-Val_Date)/365.25)</f>
        <v>#VALUE!</v>
      </c>
      <c r="AO244" s="222" t="e">
        <f aca="false">$B244*$E244*$AM244</f>
        <v>#VALUE!</v>
      </c>
      <c r="AP244" s="222"/>
      <c r="AQ244" s="222" t="e">
        <f aca="false">H244*AO244</f>
        <v>#VALUE!</v>
      </c>
      <c r="AR244" s="222"/>
      <c r="AS244" s="174" t="e">
        <f aca="false">J244*$AO244</f>
        <v>#VALUE!</v>
      </c>
      <c r="AT244" s="174" t="e">
        <f aca="false">K244*$AO244</f>
        <v>#VALUE!</v>
      </c>
      <c r="AU244" s="174" t="e">
        <f aca="false">L244*$AO244</f>
        <v>#VALUE!</v>
      </c>
      <c r="AV244" s="174"/>
      <c r="AW244" s="174"/>
      <c r="AY244" s="220"/>
      <c r="AZ244" s="220"/>
      <c r="BA244" s="223"/>
      <c r="BC244" s="220"/>
      <c r="BE244" s="206"/>
    </row>
    <row r="245" customFormat="false" ht="12.75" hidden="false" customHeight="false" outlineLevel="0" collapsed="false">
      <c r="A245" s="167" t="e">
        <f aca="false">([1]!edate,A244,1)</f>
        <v>#VALUE!</v>
      </c>
      <c r="B245" s="201" t="e">
        <f aca="false">A246-A245</f>
        <v>#VALUE!</v>
      </c>
      <c r="C245" s="202" t="e">
        <f aca="false">IF(Control!$F$18="Physical",Model!A246+24,Model!A246)</f>
        <v>#VALUE!</v>
      </c>
      <c r="E245" s="203" t="e">
        <f aca="false">IF($A245&lt;End_Date,IF(Control!$C$20="Flat",Control!$C$21,VLOOKUP(Model!$A245,Euro!$B$29:$D$182,3)),0)</f>
        <v>#VALUE!</v>
      </c>
      <c r="F245" s="203" t="e">
        <f aca="false">E245*B245</f>
        <v>#VALUE!</v>
      </c>
      <c r="H245" s="204" t="e">
        <f aca="false">IF(Control!$C$27="Mid",VLOOKUP($A245,CurveFetch!$D$8:$F$367,3),VLOOKUP($A245,Euro!$B$29:$I$182,8))</f>
        <v>#VALUE!</v>
      </c>
      <c r="I245" s="204"/>
      <c r="J245" s="204" t="e">
        <f aca="false">IF($J$4="Mid",VLOOKUP($A245,Curve_Fetch,VLOOKUP(Control!$AJ$10,Control!$AI$11:$AK$22,3)),VLOOKUP($A245,Euro!$B$29:$M$182,12))</f>
        <v>#VALUE!</v>
      </c>
      <c r="K245" s="205" t="e">
        <f aca="false">IF(Control!$F$18="Physical",IF($K$4="Mid",VLOOKUP($A245,Curve_Fetch,VLOOKUP(Control!$AJ$10,Control!$AI$11:$AL$22,4)),VLOOKUP($A245,Euro!$B$29:$Q$182,16)),0)</f>
        <v>#VALUE!</v>
      </c>
      <c r="L245" s="204" t="e">
        <f aca="false">SUM(J245:K245)</f>
        <v>#VALUE!</v>
      </c>
      <c r="M245" s="204"/>
      <c r="N245" s="206" t="e">
        <f aca="false">L245+H245</f>
        <v>#VALUE!</v>
      </c>
      <c r="O245" s="206" t="e">
        <f aca="false">N245+Control!$C$39</f>
        <v>#VALUE!</v>
      </c>
      <c r="P245" s="207" t="e">
        <f aca="false">VLOOKUP($A245,CurveFetch!$D$8:$E$367,2)</f>
        <v>#VALUE!</v>
      </c>
      <c r="Q245" s="208" t="e">
        <f aca="false">P245</f>
        <v>#VALUE!</v>
      </c>
      <c r="R245" s="209" t="e">
        <f aca="true">A245-1-TODAY()</f>
        <v>#VALUE!</v>
      </c>
      <c r="S245" s="210" t="e">
        <f aca="false">VLOOKUP($A245,Curve_Fetch,VLOOKUP(Control!$AJ$10,Control!$AI$11:$AM$22,5))</f>
        <v>#VALUE!</v>
      </c>
      <c r="T245" s="211" t="e">
        <f aca="false">EURO(N245,O245,P245,Q245,S245,R245,IF(Control!$C$38="Call",1,0),0)</f>
        <v>#NAME?</v>
      </c>
      <c r="U245" s="174" t="e">
        <f aca="false">T245*B245*E245</f>
        <v>#VALUE!</v>
      </c>
      <c r="V245" s="212"/>
      <c r="W245" s="213"/>
      <c r="X245" s="213"/>
      <c r="Y245" s="213"/>
      <c r="AA245" s="214"/>
      <c r="AB245" s="214"/>
      <c r="AC245" s="215"/>
      <c r="AD245" s="216"/>
      <c r="AE245" s="217"/>
      <c r="AF245" s="218"/>
      <c r="AG245" s="219"/>
      <c r="AH245" s="220"/>
      <c r="AI245" s="174"/>
      <c r="AJ245" s="171" t="e">
        <f aca="false">Y245-L245</f>
        <v>#VALUE!</v>
      </c>
      <c r="AL245" s="208" t="e">
        <f aca="false">VLOOKUP($C245,Curve_Fetch,2)+Cost_of_Funds</f>
        <v>#VALUE!</v>
      </c>
      <c r="AM245" s="210" t="e">
        <f aca="false">1/(1+AL245/2)^(2*(C245-Val_Date)/365.25)</f>
        <v>#VALUE!</v>
      </c>
      <c r="AO245" s="222" t="e">
        <f aca="false">$B245*$E245*$AM245</f>
        <v>#VALUE!</v>
      </c>
      <c r="AP245" s="222"/>
      <c r="AQ245" s="222" t="e">
        <f aca="false">H245*AO245</f>
        <v>#VALUE!</v>
      </c>
      <c r="AR245" s="222"/>
      <c r="AS245" s="174" t="e">
        <f aca="false">J245*$AO245</f>
        <v>#VALUE!</v>
      </c>
      <c r="AT245" s="174" t="e">
        <f aca="false">K245*$AO245</f>
        <v>#VALUE!</v>
      </c>
      <c r="AU245" s="174" t="e">
        <f aca="false">L245*$AO245</f>
        <v>#VALUE!</v>
      </c>
      <c r="AV245" s="174"/>
      <c r="AW245" s="174"/>
      <c r="AY245" s="220"/>
      <c r="AZ245" s="220"/>
      <c r="BA245" s="223"/>
      <c r="BC245" s="220"/>
      <c r="BE245" s="206"/>
    </row>
    <row r="246" customFormat="false" ht="12.75" hidden="false" customHeight="false" outlineLevel="0" collapsed="false">
      <c r="A246" s="167" t="e">
        <f aca="false">([1]!edate,A245,1)</f>
        <v>#VALUE!</v>
      </c>
      <c r="B246" s="201" t="e">
        <f aca="false">A247-A246</f>
        <v>#VALUE!</v>
      </c>
      <c r="C246" s="202" t="e">
        <f aca="false">IF(Control!$F$18="Physical",Model!A247+24,Model!A247)</f>
        <v>#VALUE!</v>
      </c>
      <c r="E246" s="203" t="e">
        <f aca="false">IF($A246&lt;End_Date,IF(Control!$C$20="Flat",Control!$C$21,VLOOKUP(Model!$A246,Euro!$B$29:$D$182,3)),0)</f>
        <v>#VALUE!</v>
      </c>
      <c r="F246" s="203" t="e">
        <f aca="false">E246*B246</f>
        <v>#VALUE!</v>
      </c>
      <c r="H246" s="204" t="e">
        <f aca="false">IF(Control!$C$27="Mid",VLOOKUP($A246,CurveFetch!$D$8:$F$367,3),VLOOKUP($A246,Euro!$B$29:$I$182,8))</f>
        <v>#VALUE!</v>
      </c>
      <c r="I246" s="204"/>
      <c r="J246" s="204" t="e">
        <f aca="false">IF($J$4="Mid",VLOOKUP($A246,Curve_Fetch,VLOOKUP(Control!$AJ$10,Control!$AI$11:$AK$22,3)),VLOOKUP($A246,Euro!$B$29:$M$182,12))</f>
        <v>#VALUE!</v>
      </c>
      <c r="K246" s="205" t="e">
        <f aca="false">IF(Control!$F$18="Physical",IF($K$4="Mid",VLOOKUP($A246,Curve_Fetch,VLOOKUP(Control!$AJ$10,Control!$AI$11:$AL$22,4)),VLOOKUP($A246,Euro!$B$29:$Q$182,16)),0)</f>
        <v>#VALUE!</v>
      </c>
      <c r="L246" s="204" t="e">
        <f aca="false">SUM(J246:K246)</f>
        <v>#VALUE!</v>
      </c>
      <c r="M246" s="204"/>
      <c r="N246" s="206" t="e">
        <f aca="false">L246+H246</f>
        <v>#VALUE!</v>
      </c>
      <c r="O246" s="206" t="e">
        <f aca="false">N246+Control!$C$39</f>
        <v>#VALUE!</v>
      </c>
      <c r="P246" s="207" t="e">
        <f aca="false">VLOOKUP($A246,CurveFetch!$D$8:$E$367,2)</f>
        <v>#VALUE!</v>
      </c>
      <c r="Q246" s="208" t="e">
        <f aca="false">P246</f>
        <v>#VALUE!</v>
      </c>
      <c r="R246" s="209" t="e">
        <f aca="true">A246-1-TODAY()</f>
        <v>#VALUE!</v>
      </c>
      <c r="S246" s="210" t="e">
        <f aca="false">VLOOKUP($A246,Curve_Fetch,VLOOKUP(Control!$AJ$10,Control!$AI$11:$AM$22,5))</f>
        <v>#VALUE!</v>
      </c>
      <c r="T246" s="211" t="e">
        <f aca="false">EURO(N246,O246,P246,Q246,S246,R246,IF(Control!$C$38="Call",1,0),0)</f>
        <v>#NAME?</v>
      </c>
      <c r="U246" s="174" t="e">
        <f aca="false">T246*B246*E246</f>
        <v>#VALUE!</v>
      </c>
      <c r="V246" s="212"/>
      <c r="W246" s="213"/>
      <c r="X246" s="213"/>
      <c r="Y246" s="213"/>
      <c r="AA246" s="214"/>
      <c r="AB246" s="214"/>
      <c r="AC246" s="215"/>
      <c r="AD246" s="216"/>
      <c r="AE246" s="217"/>
      <c r="AF246" s="218"/>
      <c r="AG246" s="219"/>
      <c r="AH246" s="220"/>
      <c r="AI246" s="174"/>
      <c r="AJ246" s="171" t="e">
        <f aca="false">Y246-L246</f>
        <v>#VALUE!</v>
      </c>
      <c r="AL246" s="208" t="e">
        <f aca="false">VLOOKUP($C246,Curve_Fetch,2)+Cost_of_Funds</f>
        <v>#VALUE!</v>
      </c>
      <c r="AM246" s="210" t="e">
        <f aca="false">1/(1+AL246/2)^(2*(C246-Val_Date)/365.25)</f>
        <v>#VALUE!</v>
      </c>
      <c r="AO246" s="222" t="e">
        <f aca="false">$B246*$E246*$AM246</f>
        <v>#VALUE!</v>
      </c>
      <c r="AP246" s="222"/>
      <c r="AQ246" s="222" t="e">
        <f aca="false">H246*AO246</f>
        <v>#VALUE!</v>
      </c>
      <c r="AR246" s="222"/>
      <c r="AS246" s="174" t="e">
        <f aca="false">J246*$AO246</f>
        <v>#VALUE!</v>
      </c>
      <c r="AT246" s="174" t="e">
        <f aca="false">K246*$AO246</f>
        <v>#VALUE!</v>
      </c>
      <c r="AU246" s="174" t="e">
        <f aca="false">L246*$AO246</f>
        <v>#VALUE!</v>
      </c>
      <c r="AV246" s="174"/>
      <c r="AW246" s="174"/>
      <c r="AY246" s="220"/>
      <c r="AZ246" s="220"/>
      <c r="BA246" s="223"/>
      <c r="BC246" s="220"/>
      <c r="BE246" s="206"/>
    </row>
    <row r="247" customFormat="false" ht="12.75" hidden="false" customHeight="false" outlineLevel="0" collapsed="false">
      <c r="A247" s="167" t="e">
        <f aca="false">([1]!edate,A246,1)</f>
        <v>#VALUE!</v>
      </c>
      <c r="B247" s="201" t="e">
        <f aca="false">A248-A247</f>
        <v>#VALUE!</v>
      </c>
      <c r="C247" s="202" t="e">
        <f aca="false">IF(Control!$F$18="Physical",Model!A248+24,Model!A248)</f>
        <v>#VALUE!</v>
      </c>
      <c r="E247" s="203" t="e">
        <f aca="false">IF($A247&lt;End_Date,IF(Control!$C$20="Flat",Control!$C$21,VLOOKUP(Model!$A247,Euro!$B$29:$D$182,3)),0)</f>
        <v>#VALUE!</v>
      </c>
      <c r="F247" s="203" t="e">
        <f aca="false">E247*B247</f>
        <v>#VALUE!</v>
      </c>
      <c r="H247" s="204" t="e">
        <f aca="false">IF(Control!$C$27="Mid",VLOOKUP($A247,CurveFetch!$D$8:$F$367,3),VLOOKUP($A247,Euro!$B$29:$I$182,8))</f>
        <v>#VALUE!</v>
      </c>
      <c r="I247" s="204"/>
      <c r="J247" s="204" t="e">
        <f aca="false">IF($J$4="Mid",VLOOKUP($A247,Curve_Fetch,VLOOKUP(Control!$AJ$10,Control!$AI$11:$AK$22,3)),VLOOKUP($A247,Euro!$B$29:$M$182,12))</f>
        <v>#VALUE!</v>
      </c>
      <c r="K247" s="205" t="e">
        <f aca="false">IF(Control!$F$18="Physical",IF($K$4="Mid",VLOOKUP($A247,Curve_Fetch,VLOOKUP(Control!$AJ$10,Control!$AI$11:$AL$22,4)),VLOOKUP($A247,Euro!$B$29:$Q$182,16)),0)</f>
        <v>#VALUE!</v>
      </c>
      <c r="L247" s="204" t="e">
        <f aca="false">SUM(J247:K247)</f>
        <v>#VALUE!</v>
      </c>
      <c r="M247" s="204"/>
      <c r="N247" s="206" t="e">
        <f aca="false">L247+H247</f>
        <v>#VALUE!</v>
      </c>
      <c r="O247" s="206" t="e">
        <f aca="false">N247+Control!$C$39</f>
        <v>#VALUE!</v>
      </c>
      <c r="P247" s="207" t="e">
        <f aca="false">VLOOKUP($A247,CurveFetch!$D$8:$E$367,2)</f>
        <v>#VALUE!</v>
      </c>
      <c r="Q247" s="208" t="e">
        <f aca="false">P247</f>
        <v>#VALUE!</v>
      </c>
      <c r="R247" s="209" t="e">
        <f aca="true">A247-1-TODAY()</f>
        <v>#VALUE!</v>
      </c>
      <c r="S247" s="210" t="e">
        <f aca="false">VLOOKUP($A247,Curve_Fetch,VLOOKUP(Control!$AJ$10,Control!$AI$11:$AM$22,5))</f>
        <v>#VALUE!</v>
      </c>
      <c r="T247" s="211" t="e">
        <f aca="false">EURO(N247,O247,P247,Q247,S247,R247,IF(Control!$C$38="Call",1,0),0)</f>
        <v>#NAME?</v>
      </c>
      <c r="U247" s="174" t="e">
        <f aca="false">T247*B247*E247</f>
        <v>#VALUE!</v>
      </c>
      <c r="V247" s="224"/>
      <c r="W247" s="213"/>
      <c r="X247" s="213"/>
      <c r="Y247" s="213"/>
      <c r="AA247" s="214"/>
      <c r="AB247" s="214"/>
      <c r="AC247" s="215"/>
      <c r="AD247" s="216"/>
      <c r="AE247" s="217"/>
      <c r="AF247" s="218"/>
      <c r="AG247" s="219"/>
      <c r="AH247" s="220"/>
      <c r="AI247" s="174"/>
      <c r="AJ247" s="171" t="e">
        <f aca="false">Y247-L247</f>
        <v>#VALUE!</v>
      </c>
      <c r="AL247" s="208" t="e">
        <f aca="false">VLOOKUP($C247,Curve_Fetch,2)+Cost_of_Funds</f>
        <v>#VALUE!</v>
      </c>
      <c r="AM247" s="210" t="e">
        <f aca="false">1/(1+AL247/2)^(2*(C247-Val_Date)/365.25)</f>
        <v>#VALUE!</v>
      </c>
      <c r="AO247" s="222" t="e">
        <f aca="false">$B247*$E247*$AM247</f>
        <v>#VALUE!</v>
      </c>
      <c r="AP247" s="222"/>
      <c r="AQ247" s="222" t="e">
        <f aca="false">H247*AO247</f>
        <v>#VALUE!</v>
      </c>
      <c r="AR247" s="222"/>
      <c r="AS247" s="174" t="e">
        <f aca="false">J247*$AO247</f>
        <v>#VALUE!</v>
      </c>
      <c r="AT247" s="174" t="e">
        <f aca="false">K247*$AO247</f>
        <v>#VALUE!</v>
      </c>
      <c r="AU247" s="174" t="e">
        <f aca="false">L247*$AO247</f>
        <v>#VALUE!</v>
      </c>
      <c r="AV247" s="174"/>
      <c r="AW247" s="174"/>
      <c r="AY247" s="220"/>
      <c r="AZ247" s="220"/>
      <c r="BA247" s="223"/>
      <c r="BC247" s="220"/>
      <c r="BE247" s="206"/>
    </row>
    <row r="248" customFormat="false" ht="12.75" hidden="false" customHeight="false" outlineLevel="0" collapsed="false">
      <c r="A248" s="167" t="e">
        <f aca="false">([1]!edate,A247,1)</f>
        <v>#VALUE!</v>
      </c>
      <c r="B248" s="201" t="e">
        <f aca="false">A249-A248</f>
        <v>#VALUE!</v>
      </c>
      <c r="C248" s="202" t="e">
        <f aca="false">IF(Control!$F$18="Physical",Model!A249+24,Model!A249)</f>
        <v>#VALUE!</v>
      </c>
      <c r="E248" s="203" t="e">
        <f aca="false">IF($A248&lt;End_Date,IF(Control!$C$20="Flat",Control!$C$21,VLOOKUP(Model!$A248,Euro!$B$29:$D$182,3)),0)</f>
        <v>#VALUE!</v>
      </c>
      <c r="F248" s="203" t="e">
        <f aca="false">E248*B248</f>
        <v>#VALUE!</v>
      </c>
      <c r="H248" s="204" t="e">
        <f aca="false">IF(Control!$C$27="Mid",VLOOKUP($A248,CurveFetch!$D$8:$F$367,3),VLOOKUP($A248,Euro!$B$29:$I$182,8))</f>
        <v>#VALUE!</v>
      </c>
      <c r="I248" s="204"/>
      <c r="J248" s="204" t="e">
        <f aca="false">IF($J$4="Mid",VLOOKUP($A248,Curve_Fetch,VLOOKUP(Control!$AJ$10,Control!$AI$11:$AK$22,3)),VLOOKUP($A248,Euro!$B$29:$M$182,12))</f>
        <v>#VALUE!</v>
      </c>
      <c r="K248" s="205" t="e">
        <f aca="false">IF(Control!$F$18="Physical",IF($K$4="Mid",VLOOKUP($A248,Curve_Fetch,VLOOKUP(Control!$AJ$10,Control!$AI$11:$AL$22,4)),VLOOKUP($A248,Euro!$B$29:$Q$182,16)),0)</f>
        <v>#VALUE!</v>
      </c>
      <c r="L248" s="204" t="e">
        <f aca="false">SUM(J248:K248)</f>
        <v>#VALUE!</v>
      </c>
      <c r="M248" s="204"/>
      <c r="N248" s="206" t="e">
        <f aca="false">L248+H248</f>
        <v>#VALUE!</v>
      </c>
      <c r="O248" s="206" t="e">
        <f aca="false">N248+Control!$C$39</f>
        <v>#VALUE!</v>
      </c>
      <c r="P248" s="207" t="e">
        <f aca="false">VLOOKUP($A248,CurveFetch!$D$8:$E$367,2)</f>
        <v>#VALUE!</v>
      </c>
      <c r="Q248" s="208" t="e">
        <f aca="false">P248</f>
        <v>#VALUE!</v>
      </c>
      <c r="R248" s="209" t="e">
        <f aca="true">A248-1-TODAY()</f>
        <v>#VALUE!</v>
      </c>
      <c r="S248" s="210" t="e">
        <f aca="false">VLOOKUP($A248,Curve_Fetch,VLOOKUP(Control!$AJ$10,Control!$AI$11:$AM$22,5))</f>
        <v>#VALUE!</v>
      </c>
      <c r="T248" s="211" t="e">
        <f aca="false">EURO(N248,O248,P248,Q248,S248,R248,IF(Control!$C$38="Call",1,0),0)</f>
        <v>#NAME?</v>
      </c>
      <c r="U248" s="174" t="e">
        <f aca="false">T248*B248*E248</f>
        <v>#VALUE!</v>
      </c>
      <c r="V248" s="224"/>
      <c r="W248" s="213"/>
      <c r="X248" s="213"/>
      <c r="Y248" s="213"/>
      <c r="AA248" s="214"/>
      <c r="AB248" s="214"/>
      <c r="AC248" s="215"/>
      <c r="AD248" s="216"/>
      <c r="AE248" s="217"/>
      <c r="AF248" s="218"/>
      <c r="AG248" s="219"/>
      <c r="AH248" s="220"/>
      <c r="AI248" s="174"/>
      <c r="AJ248" s="171" t="e">
        <f aca="false">Y248-L248</f>
        <v>#VALUE!</v>
      </c>
      <c r="AL248" s="208" t="e">
        <f aca="false">VLOOKUP($C248,Curve_Fetch,2)+Cost_of_Funds</f>
        <v>#VALUE!</v>
      </c>
      <c r="AM248" s="210" t="e">
        <f aca="false">1/(1+AL248/2)^(2*(C248-Val_Date)/365.25)</f>
        <v>#VALUE!</v>
      </c>
      <c r="AO248" s="222" t="e">
        <f aca="false">$B248*$E248*$AM248</f>
        <v>#VALUE!</v>
      </c>
      <c r="AP248" s="222"/>
      <c r="AQ248" s="222" t="e">
        <f aca="false">H248*AO248</f>
        <v>#VALUE!</v>
      </c>
      <c r="AR248" s="222"/>
      <c r="AS248" s="174" t="e">
        <f aca="false">J248*$AO248</f>
        <v>#VALUE!</v>
      </c>
      <c r="AT248" s="174" t="e">
        <f aca="false">K248*$AO248</f>
        <v>#VALUE!</v>
      </c>
      <c r="AU248" s="174" t="e">
        <f aca="false">L248*$AO248</f>
        <v>#VALUE!</v>
      </c>
      <c r="AV248" s="174"/>
      <c r="AW248" s="174"/>
      <c r="AY248" s="220"/>
      <c r="AZ248" s="220"/>
      <c r="BA248" s="223"/>
      <c r="BC248" s="220"/>
      <c r="BE248" s="206"/>
    </row>
    <row r="249" customFormat="false" ht="12.75" hidden="false" customHeight="false" outlineLevel="0" collapsed="false">
      <c r="A249" s="167" t="e">
        <f aca="false">([1]!edate,A248,1)</f>
        <v>#VALUE!</v>
      </c>
      <c r="B249" s="201" t="e">
        <f aca="false">A250-A249</f>
        <v>#VALUE!</v>
      </c>
      <c r="C249" s="202" t="e">
        <f aca="false">IF(Control!$F$18="Physical",Model!A250+24,Model!A250)</f>
        <v>#VALUE!</v>
      </c>
      <c r="E249" s="203" t="e">
        <f aca="false">IF($A249&lt;End_Date,IF(Control!$C$20="Flat",Control!$C$21,VLOOKUP(Model!$A249,Euro!$B$29:$D$182,3)),0)</f>
        <v>#VALUE!</v>
      </c>
      <c r="F249" s="203" t="e">
        <f aca="false">E249*B249</f>
        <v>#VALUE!</v>
      </c>
      <c r="H249" s="204" t="e">
        <f aca="false">IF(Control!$C$27="Mid",VLOOKUP($A249,CurveFetch!$D$8:$F$367,3),VLOOKUP($A249,Euro!$B$29:$I$182,8))</f>
        <v>#VALUE!</v>
      </c>
      <c r="I249" s="204"/>
      <c r="J249" s="204" t="e">
        <f aca="false">IF($J$4="Mid",VLOOKUP($A249,Curve_Fetch,VLOOKUP(Control!$AJ$10,Control!$AI$11:$AK$22,3)),VLOOKUP($A249,Euro!$B$29:$M$182,12))</f>
        <v>#VALUE!</v>
      </c>
      <c r="K249" s="205" t="e">
        <f aca="false">IF(Control!$F$18="Physical",IF($K$4="Mid",VLOOKUP($A249,Curve_Fetch,VLOOKUP(Control!$AJ$10,Control!$AI$11:$AL$22,4)),VLOOKUP($A249,Euro!$B$29:$Q$182,16)),0)</f>
        <v>#VALUE!</v>
      </c>
      <c r="L249" s="204" t="e">
        <f aca="false">SUM(J249:K249)</f>
        <v>#VALUE!</v>
      </c>
      <c r="M249" s="204"/>
      <c r="N249" s="206" t="e">
        <f aca="false">L249+H249</f>
        <v>#VALUE!</v>
      </c>
      <c r="O249" s="206" t="e">
        <f aca="false">N249+Control!$C$39</f>
        <v>#VALUE!</v>
      </c>
      <c r="P249" s="207" t="e">
        <f aca="false">VLOOKUP($A249,CurveFetch!$D$8:$E$367,2)</f>
        <v>#VALUE!</v>
      </c>
      <c r="Q249" s="208" t="e">
        <f aca="false">P249</f>
        <v>#VALUE!</v>
      </c>
      <c r="R249" s="209" t="e">
        <f aca="true">A249-1-TODAY()</f>
        <v>#VALUE!</v>
      </c>
      <c r="S249" s="210" t="e">
        <f aca="false">VLOOKUP($A249,Curve_Fetch,VLOOKUP(Control!$AJ$10,Control!$AI$11:$AM$22,5))</f>
        <v>#VALUE!</v>
      </c>
      <c r="T249" s="211" t="e">
        <f aca="false">EURO(N249,O249,P249,Q249,S249,R249,IF(Control!$C$38="Call",1,0),0)</f>
        <v>#NAME?</v>
      </c>
      <c r="U249" s="174" t="e">
        <f aca="false">T249*B249*E249</f>
        <v>#VALUE!</v>
      </c>
      <c r="V249" s="224"/>
      <c r="W249" s="213"/>
      <c r="X249" s="213"/>
      <c r="Y249" s="213"/>
      <c r="AA249" s="214"/>
      <c r="AB249" s="214"/>
      <c r="AC249" s="215"/>
      <c r="AD249" s="216"/>
      <c r="AE249" s="217"/>
      <c r="AF249" s="218"/>
      <c r="AG249" s="219"/>
      <c r="AH249" s="220"/>
      <c r="AI249" s="174"/>
      <c r="AJ249" s="171" t="e">
        <f aca="false">Y249-L249</f>
        <v>#VALUE!</v>
      </c>
      <c r="AL249" s="208" t="e">
        <f aca="false">VLOOKUP($C249,Curve_Fetch,2)+Cost_of_Funds</f>
        <v>#VALUE!</v>
      </c>
      <c r="AM249" s="210" t="e">
        <f aca="false">1/(1+AL249/2)^(2*(C249-Val_Date)/365.25)</f>
        <v>#VALUE!</v>
      </c>
      <c r="AO249" s="222" t="e">
        <f aca="false">$B249*$E249*$AM249</f>
        <v>#VALUE!</v>
      </c>
      <c r="AP249" s="222"/>
      <c r="AQ249" s="222" t="e">
        <f aca="false">H249*AO249</f>
        <v>#VALUE!</v>
      </c>
      <c r="AR249" s="222"/>
      <c r="AS249" s="174" t="e">
        <f aca="false">J249*$AO249</f>
        <v>#VALUE!</v>
      </c>
      <c r="AT249" s="174" t="e">
        <f aca="false">K249*$AO249</f>
        <v>#VALUE!</v>
      </c>
      <c r="AU249" s="174" t="e">
        <f aca="false">L249*$AO249</f>
        <v>#VALUE!</v>
      </c>
      <c r="AV249" s="174"/>
      <c r="AW249" s="174"/>
      <c r="AY249" s="220"/>
      <c r="AZ249" s="220"/>
      <c r="BA249" s="223"/>
      <c r="BC249" s="220"/>
      <c r="BE249" s="206"/>
    </row>
    <row r="250" customFormat="false" ht="12.75" hidden="false" customHeight="false" outlineLevel="0" collapsed="false">
      <c r="A250" s="167" t="e">
        <f aca="false">([1]!edate,A249,1)</f>
        <v>#VALUE!</v>
      </c>
      <c r="B250" s="201" t="e">
        <f aca="false">A251-A250</f>
        <v>#VALUE!</v>
      </c>
      <c r="C250" s="202" t="e">
        <f aca="false">IF(Control!$F$18="Physical",Model!A251+24,Model!A251)</f>
        <v>#VALUE!</v>
      </c>
      <c r="E250" s="203" t="e">
        <f aca="false">IF($A250&lt;End_Date,IF(Control!$C$20="Flat",Control!$C$21,VLOOKUP(Model!$A250,Euro!$B$29:$D$182,3)),0)</f>
        <v>#VALUE!</v>
      </c>
      <c r="F250" s="203" t="e">
        <f aca="false">E250*B250</f>
        <v>#VALUE!</v>
      </c>
      <c r="H250" s="204" t="e">
        <f aca="false">IF(Control!$C$27="Mid",VLOOKUP($A250,CurveFetch!$D$8:$F$367,3),VLOOKUP($A250,Euro!$B$29:$I$182,8))</f>
        <v>#VALUE!</v>
      </c>
      <c r="I250" s="204"/>
      <c r="J250" s="204" t="e">
        <f aca="false">IF($J$4="Mid",VLOOKUP($A250,Curve_Fetch,VLOOKUP(Control!$AJ$10,Control!$AI$11:$AK$22,3)),VLOOKUP($A250,Euro!$B$29:$M$182,12))</f>
        <v>#VALUE!</v>
      </c>
      <c r="K250" s="205" t="e">
        <f aca="false">IF(Control!$F$18="Physical",IF($K$4="Mid",VLOOKUP($A250,Curve_Fetch,VLOOKUP(Control!$AJ$10,Control!$AI$11:$AL$22,4)),VLOOKUP($A250,Euro!$B$29:$Q$182,16)),0)</f>
        <v>#VALUE!</v>
      </c>
      <c r="L250" s="204" t="e">
        <f aca="false">SUM(J250:K250)</f>
        <v>#VALUE!</v>
      </c>
      <c r="M250" s="204"/>
      <c r="N250" s="206" t="e">
        <f aca="false">L250+H250</f>
        <v>#VALUE!</v>
      </c>
      <c r="O250" s="206" t="e">
        <f aca="false">N250+Control!$C$39</f>
        <v>#VALUE!</v>
      </c>
      <c r="P250" s="207" t="e">
        <f aca="false">VLOOKUP($A250,CurveFetch!$D$8:$E$367,2)</f>
        <v>#VALUE!</v>
      </c>
      <c r="Q250" s="208" t="e">
        <f aca="false">P250</f>
        <v>#VALUE!</v>
      </c>
      <c r="R250" s="209" t="e">
        <f aca="true">A250-1-TODAY()</f>
        <v>#VALUE!</v>
      </c>
      <c r="S250" s="210" t="e">
        <f aca="false">VLOOKUP($A250,Curve_Fetch,VLOOKUP(Control!$AJ$10,Control!$AI$11:$AM$22,5))</f>
        <v>#VALUE!</v>
      </c>
      <c r="T250" s="211" t="e">
        <f aca="false">EURO(N250,O250,P250,Q250,S250,R250,IF(Control!$C$38="Call",1,0),0)</f>
        <v>#NAME?</v>
      </c>
      <c r="U250" s="174" t="e">
        <f aca="false">T250*B250*E250</f>
        <v>#VALUE!</v>
      </c>
      <c r="V250" s="224"/>
      <c r="W250" s="213"/>
      <c r="X250" s="213"/>
      <c r="Y250" s="213"/>
      <c r="AA250" s="214"/>
      <c r="AB250" s="214"/>
      <c r="AC250" s="215"/>
      <c r="AD250" s="216"/>
      <c r="AE250" s="217"/>
      <c r="AF250" s="218"/>
      <c r="AG250" s="219"/>
      <c r="AH250" s="220"/>
      <c r="AI250" s="174"/>
      <c r="AJ250" s="171" t="e">
        <f aca="false">Y250-L250</f>
        <v>#VALUE!</v>
      </c>
      <c r="AL250" s="208" t="e">
        <f aca="false">VLOOKUP($C250,Curve_Fetch,2)+Cost_of_Funds</f>
        <v>#VALUE!</v>
      </c>
      <c r="AM250" s="210" t="e">
        <f aca="false">1/(1+AL250/2)^(2*(C250-Val_Date)/365.25)</f>
        <v>#VALUE!</v>
      </c>
      <c r="AO250" s="222" t="e">
        <f aca="false">$B250*$E250*$AM250</f>
        <v>#VALUE!</v>
      </c>
      <c r="AP250" s="222"/>
      <c r="AQ250" s="222" t="e">
        <f aca="false">H250*AO250</f>
        <v>#VALUE!</v>
      </c>
      <c r="AR250" s="222"/>
      <c r="AS250" s="174" t="e">
        <f aca="false">J250*$AO250</f>
        <v>#VALUE!</v>
      </c>
      <c r="AT250" s="174" t="e">
        <f aca="false">K250*$AO250</f>
        <v>#VALUE!</v>
      </c>
      <c r="AU250" s="174" t="e">
        <f aca="false">L250*$AO250</f>
        <v>#VALUE!</v>
      </c>
      <c r="AV250" s="174"/>
      <c r="AW250" s="174"/>
      <c r="AY250" s="220"/>
      <c r="AZ250" s="220"/>
      <c r="BA250" s="223"/>
      <c r="BC250" s="220"/>
      <c r="BE250" s="206"/>
    </row>
    <row r="251" customFormat="false" ht="12.75" hidden="false" customHeight="false" outlineLevel="0" collapsed="false">
      <c r="A251" s="167" t="e">
        <f aca="false">([1]!edate,A250,1)</f>
        <v>#VALUE!</v>
      </c>
      <c r="B251" s="201" t="e">
        <f aca="false">A252-A251</f>
        <v>#VALUE!</v>
      </c>
      <c r="C251" s="202" t="e">
        <f aca="false">IF(Control!$F$18="Physical",Model!A252+24,Model!A252)</f>
        <v>#VALUE!</v>
      </c>
      <c r="E251" s="203" t="e">
        <f aca="false">IF($A251&lt;End_Date,IF(Control!$C$20="Flat",Control!$C$21,VLOOKUP(Model!$A251,Euro!$B$29:$D$182,3)),0)</f>
        <v>#VALUE!</v>
      </c>
      <c r="F251" s="203" t="e">
        <f aca="false">E251*B251</f>
        <v>#VALUE!</v>
      </c>
      <c r="H251" s="204" t="e">
        <f aca="false">IF(Control!$C$27="Mid",VLOOKUP($A251,CurveFetch!$D$8:$F$367,3),VLOOKUP($A251,Euro!$B$29:$I$182,8))</f>
        <v>#VALUE!</v>
      </c>
      <c r="I251" s="204"/>
      <c r="J251" s="204" t="e">
        <f aca="false">IF($J$4="Mid",VLOOKUP($A251,Curve_Fetch,VLOOKUP(Control!$AJ$10,Control!$AI$11:$AK$22,3)),VLOOKUP($A251,Euro!$B$29:$M$182,12))</f>
        <v>#VALUE!</v>
      </c>
      <c r="K251" s="205" t="e">
        <f aca="false">IF(Control!$F$18="Physical",IF($K$4="Mid",VLOOKUP($A251,Curve_Fetch,VLOOKUP(Control!$AJ$10,Control!$AI$11:$AL$22,4)),VLOOKUP($A251,Euro!$B$29:$Q$182,16)),0)</f>
        <v>#VALUE!</v>
      </c>
      <c r="L251" s="204" t="e">
        <f aca="false">SUM(J251:K251)</f>
        <v>#VALUE!</v>
      </c>
      <c r="M251" s="204"/>
      <c r="N251" s="206" t="e">
        <f aca="false">L251+H251</f>
        <v>#VALUE!</v>
      </c>
      <c r="O251" s="206" t="e">
        <f aca="false">N251+Control!$C$39</f>
        <v>#VALUE!</v>
      </c>
      <c r="P251" s="207" t="e">
        <f aca="false">VLOOKUP($A251,CurveFetch!$D$8:$E$367,2)</f>
        <v>#VALUE!</v>
      </c>
      <c r="Q251" s="208" t="e">
        <f aca="false">P251</f>
        <v>#VALUE!</v>
      </c>
      <c r="R251" s="209" t="e">
        <f aca="true">A251-1-TODAY()</f>
        <v>#VALUE!</v>
      </c>
      <c r="S251" s="210" t="e">
        <f aca="false">VLOOKUP($A251,Curve_Fetch,VLOOKUP(Control!$AJ$10,Control!$AI$11:$AM$22,5))</f>
        <v>#VALUE!</v>
      </c>
      <c r="T251" s="211" t="e">
        <f aca="false">EURO(N251,O251,P251,Q251,S251,R251,IF(Control!$C$38="Call",1,0),0)</f>
        <v>#NAME?</v>
      </c>
      <c r="U251" s="174" t="e">
        <f aca="false">T251*B251*E251</f>
        <v>#VALUE!</v>
      </c>
      <c r="V251" s="224"/>
      <c r="W251" s="213"/>
      <c r="X251" s="213"/>
      <c r="Y251" s="213"/>
      <c r="AA251" s="214"/>
      <c r="AB251" s="214"/>
      <c r="AC251" s="215"/>
      <c r="AD251" s="216"/>
      <c r="AE251" s="217"/>
      <c r="AF251" s="218"/>
      <c r="AG251" s="219"/>
      <c r="AH251" s="220"/>
      <c r="AI251" s="174"/>
      <c r="AJ251" s="171" t="e">
        <f aca="false">Y251-L251</f>
        <v>#VALUE!</v>
      </c>
      <c r="AL251" s="208" t="e">
        <f aca="false">VLOOKUP($C251,Curve_Fetch,2)+Cost_of_Funds</f>
        <v>#VALUE!</v>
      </c>
      <c r="AM251" s="210" t="e">
        <f aca="false">1/(1+AL251/2)^(2*(C251-Val_Date)/365.25)</f>
        <v>#VALUE!</v>
      </c>
      <c r="AO251" s="222" t="e">
        <f aca="false">$B251*$E251*$AM251</f>
        <v>#VALUE!</v>
      </c>
      <c r="AP251" s="222"/>
      <c r="AQ251" s="222" t="e">
        <f aca="false">H251*AO251</f>
        <v>#VALUE!</v>
      </c>
      <c r="AR251" s="222"/>
      <c r="AS251" s="174" t="e">
        <f aca="false">J251*$AO251</f>
        <v>#VALUE!</v>
      </c>
      <c r="AT251" s="174" t="e">
        <f aca="false">K251*$AO251</f>
        <v>#VALUE!</v>
      </c>
      <c r="AU251" s="174" t="e">
        <f aca="false">L251*$AO251</f>
        <v>#VALUE!</v>
      </c>
      <c r="AV251" s="174"/>
      <c r="AW251" s="174"/>
      <c r="AY251" s="220"/>
      <c r="AZ251" s="220"/>
      <c r="BA251" s="223"/>
      <c r="BC251" s="220"/>
      <c r="BE251" s="206"/>
    </row>
    <row r="252" customFormat="false" ht="12.75" hidden="false" customHeight="false" outlineLevel="0" collapsed="false">
      <c r="A252" s="167" t="e">
        <f aca="false">([1]!edate,A251,1)</f>
        <v>#VALUE!</v>
      </c>
      <c r="B252" s="201" t="e">
        <f aca="false">A253-A252</f>
        <v>#VALUE!</v>
      </c>
      <c r="C252" s="202" t="e">
        <f aca="false">IF(Control!$F$18="Physical",Model!A253+24,Model!A253)</f>
        <v>#VALUE!</v>
      </c>
      <c r="E252" s="203" t="e">
        <f aca="false">IF($A252&lt;End_Date,IF(Control!$C$20="Flat",Control!$C$21,VLOOKUP(Model!$A252,Euro!$B$29:$D$182,3)),0)</f>
        <v>#VALUE!</v>
      </c>
      <c r="F252" s="203" t="e">
        <f aca="false">E252*B252</f>
        <v>#VALUE!</v>
      </c>
      <c r="H252" s="204" t="e">
        <f aca="false">IF(Control!$C$27="Mid",VLOOKUP($A252,CurveFetch!$D$8:$F$367,3),VLOOKUP($A252,Euro!$B$29:$I$182,8))</f>
        <v>#VALUE!</v>
      </c>
      <c r="I252" s="204"/>
      <c r="J252" s="204" t="e">
        <f aca="false">IF($J$4="Mid",VLOOKUP($A252,Curve_Fetch,VLOOKUP(Control!$AJ$10,Control!$AI$11:$AK$22,3)),VLOOKUP($A252,Euro!$B$29:$M$182,12))</f>
        <v>#VALUE!</v>
      </c>
      <c r="K252" s="205" t="e">
        <f aca="false">IF(Control!$F$18="Physical",IF($K$4="Mid",VLOOKUP($A252,Curve_Fetch,VLOOKUP(Control!$AJ$10,Control!$AI$11:$AL$22,4)),VLOOKUP($A252,Euro!$B$29:$Q$182,16)),0)</f>
        <v>#VALUE!</v>
      </c>
      <c r="L252" s="204" t="e">
        <f aca="false">SUM(J252:K252)</f>
        <v>#VALUE!</v>
      </c>
      <c r="M252" s="204"/>
      <c r="N252" s="206" t="e">
        <f aca="false">L252+H252</f>
        <v>#VALUE!</v>
      </c>
      <c r="O252" s="206" t="e">
        <f aca="false">N252+Control!$C$39</f>
        <v>#VALUE!</v>
      </c>
      <c r="P252" s="207" t="e">
        <f aca="false">VLOOKUP($A252,CurveFetch!$D$8:$E$367,2)</f>
        <v>#VALUE!</v>
      </c>
      <c r="Q252" s="208" t="e">
        <f aca="false">P252</f>
        <v>#VALUE!</v>
      </c>
      <c r="R252" s="209" t="e">
        <f aca="true">A252-1-TODAY()</f>
        <v>#VALUE!</v>
      </c>
      <c r="S252" s="210" t="e">
        <f aca="false">VLOOKUP($A252,Curve_Fetch,VLOOKUP(Control!$AJ$10,Control!$AI$11:$AM$22,5))</f>
        <v>#VALUE!</v>
      </c>
      <c r="T252" s="211" t="e">
        <f aca="false">EURO(N252,O252,P252,Q252,S252,R252,IF(Control!$C$38="Call",1,0),0)</f>
        <v>#NAME?</v>
      </c>
      <c r="U252" s="174" t="e">
        <f aca="false">T252*B252*E252</f>
        <v>#VALUE!</v>
      </c>
      <c r="V252" s="224"/>
      <c r="W252" s="213"/>
      <c r="X252" s="213"/>
      <c r="Y252" s="213"/>
      <c r="AA252" s="214"/>
      <c r="AB252" s="214"/>
      <c r="AC252" s="215"/>
      <c r="AD252" s="216"/>
      <c r="AE252" s="217"/>
      <c r="AF252" s="218"/>
      <c r="AG252" s="219"/>
      <c r="AH252" s="220"/>
      <c r="AI252" s="174"/>
      <c r="AJ252" s="171" t="e">
        <f aca="false">Y252-L252</f>
        <v>#VALUE!</v>
      </c>
      <c r="AL252" s="208" t="e">
        <f aca="false">VLOOKUP($C252,Curve_Fetch,2)+Cost_of_Funds</f>
        <v>#VALUE!</v>
      </c>
      <c r="AM252" s="210" t="e">
        <f aca="false">1/(1+AL252/2)^(2*(C252-Val_Date)/365.25)</f>
        <v>#VALUE!</v>
      </c>
      <c r="AO252" s="222" t="e">
        <f aca="false">$B252*$E252*$AM252</f>
        <v>#VALUE!</v>
      </c>
      <c r="AP252" s="222"/>
      <c r="AQ252" s="222" t="e">
        <f aca="false">H252*AO252</f>
        <v>#VALUE!</v>
      </c>
      <c r="AR252" s="222"/>
      <c r="AS252" s="174" t="e">
        <f aca="false">J252*$AO252</f>
        <v>#VALUE!</v>
      </c>
      <c r="AT252" s="174" t="e">
        <f aca="false">K252*$AO252</f>
        <v>#VALUE!</v>
      </c>
      <c r="AU252" s="174" t="e">
        <f aca="false">L252*$AO252</f>
        <v>#VALUE!</v>
      </c>
      <c r="AV252" s="174"/>
      <c r="AW252" s="174"/>
      <c r="AY252" s="220"/>
      <c r="AZ252" s="220"/>
      <c r="BA252" s="223"/>
      <c r="BC252" s="220"/>
      <c r="BE252" s="206"/>
    </row>
    <row r="253" customFormat="false" ht="12.75" hidden="false" customHeight="false" outlineLevel="0" collapsed="false">
      <c r="A253" s="167" t="e">
        <f aca="false">([1]!edate,A252,1)</f>
        <v>#VALUE!</v>
      </c>
      <c r="B253" s="201" t="e">
        <f aca="false">A254-A253</f>
        <v>#VALUE!</v>
      </c>
      <c r="C253" s="202" t="e">
        <f aca="false">IF(Control!$F$18="Physical",Model!A254+24,Model!A254)</f>
        <v>#VALUE!</v>
      </c>
      <c r="E253" s="203" t="e">
        <f aca="false">IF($A253&lt;End_Date,IF(Control!$C$20="Flat",Control!$C$21,VLOOKUP(Model!$A253,Euro!$B$29:$D$182,3)),0)</f>
        <v>#VALUE!</v>
      </c>
      <c r="F253" s="203" t="e">
        <f aca="false">E253*B253</f>
        <v>#VALUE!</v>
      </c>
      <c r="H253" s="204" t="e">
        <f aca="false">IF(Control!$C$27="Mid",VLOOKUP($A253,CurveFetch!$D$8:$F$367,3),VLOOKUP($A253,Euro!$B$29:$I$182,8))</f>
        <v>#VALUE!</v>
      </c>
      <c r="I253" s="204"/>
      <c r="J253" s="204" t="e">
        <f aca="false">IF($J$4="Mid",VLOOKUP($A253,Curve_Fetch,VLOOKUP(Control!$AJ$10,Control!$AI$11:$AK$22,3)),VLOOKUP($A253,Euro!$B$29:$M$182,12))</f>
        <v>#VALUE!</v>
      </c>
      <c r="K253" s="205" t="e">
        <f aca="false">IF(Control!$F$18="Physical",IF($K$4="Mid",VLOOKUP($A253,Curve_Fetch,VLOOKUP(Control!$AJ$10,Control!$AI$11:$AL$22,4)),VLOOKUP($A253,Euro!$B$29:$Q$182,16)),0)</f>
        <v>#VALUE!</v>
      </c>
      <c r="L253" s="204" t="e">
        <f aca="false">SUM(J253:K253)</f>
        <v>#VALUE!</v>
      </c>
      <c r="M253" s="204"/>
      <c r="N253" s="206" t="e">
        <f aca="false">L253+H253</f>
        <v>#VALUE!</v>
      </c>
      <c r="O253" s="206" t="e">
        <f aca="false">N253+Control!$C$39</f>
        <v>#VALUE!</v>
      </c>
      <c r="P253" s="207" t="e">
        <f aca="false">VLOOKUP($A253,CurveFetch!$D$8:$E$367,2)</f>
        <v>#VALUE!</v>
      </c>
      <c r="Q253" s="208" t="e">
        <f aca="false">P253</f>
        <v>#VALUE!</v>
      </c>
      <c r="R253" s="209" t="e">
        <f aca="true">A253-1-TODAY()</f>
        <v>#VALUE!</v>
      </c>
      <c r="S253" s="210" t="e">
        <f aca="false">VLOOKUP($A253,Curve_Fetch,VLOOKUP(Control!$AJ$10,Control!$AI$11:$AM$22,5))</f>
        <v>#VALUE!</v>
      </c>
      <c r="T253" s="211" t="e">
        <f aca="false">EURO(N253,O253,P253,Q253,S253,R253,IF(Control!$C$38="Call",1,0),0)</f>
        <v>#NAME?</v>
      </c>
      <c r="U253" s="174" t="e">
        <f aca="false">T253*B253*E253</f>
        <v>#VALUE!</v>
      </c>
      <c r="V253" s="224"/>
      <c r="W253" s="213"/>
      <c r="X253" s="213"/>
      <c r="Y253" s="213"/>
      <c r="AA253" s="214"/>
      <c r="AB253" s="214"/>
      <c r="AC253" s="215"/>
      <c r="AD253" s="216"/>
      <c r="AE253" s="217"/>
      <c r="AF253" s="218"/>
      <c r="AG253" s="219"/>
      <c r="AH253" s="220"/>
      <c r="AI253" s="174"/>
      <c r="AJ253" s="171" t="e">
        <f aca="false">Y253-L253</f>
        <v>#VALUE!</v>
      </c>
      <c r="AL253" s="208" t="e">
        <f aca="false">VLOOKUP($C253,Curve_Fetch,2)+Cost_of_Funds</f>
        <v>#VALUE!</v>
      </c>
      <c r="AM253" s="210" t="e">
        <f aca="false">1/(1+AL253/2)^(2*(C253-Val_Date)/365.25)</f>
        <v>#VALUE!</v>
      </c>
      <c r="AO253" s="222" t="e">
        <f aca="false">$B253*$E253*$AM253</f>
        <v>#VALUE!</v>
      </c>
      <c r="AP253" s="222"/>
      <c r="AQ253" s="222" t="e">
        <f aca="false">H253*AO253</f>
        <v>#VALUE!</v>
      </c>
      <c r="AR253" s="222"/>
      <c r="AS253" s="174" t="e">
        <f aca="false">J253*$AO253</f>
        <v>#VALUE!</v>
      </c>
      <c r="AT253" s="174" t="e">
        <f aca="false">K253*$AO253</f>
        <v>#VALUE!</v>
      </c>
      <c r="AU253" s="174" t="e">
        <f aca="false">L253*$AO253</f>
        <v>#VALUE!</v>
      </c>
      <c r="AV253" s="174"/>
      <c r="AW253" s="174"/>
      <c r="AY253" s="220"/>
      <c r="AZ253" s="220"/>
      <c r="BA253" s="223"/>
      <c r="BC253" s="220"/>
      <c r="BE253" s="206"/>
    </row>
    <row r="254" customFormat="false" ht="12.75" hidden="false" customHeight="false" outlineLevel="0" collapsed="false">
      <c r="A254" s="167" t="e">
        <f aca="false">([1]!edate,A253,1)</f>
        <v>#VALUE!</v>
      </c>
      <c r="B254" s="201" t="e">
        <f aca="false">A255-A254</f>
        <v>#VALUE!</v>
      </c>
      <c r="C254" s="202" t="e">
        <f aca="false">IF(Control!$F$18="Physical",Model!A255+24,Model!A255)</f>
        <v>#VALUE!</v>
      </c>
      <c r="E254" s="203" t="e">
        <f aca="false">IF($A254&lt;End_Date,IF(Control!$C$20="Flat",Control!$C$21,VLOOKUP(Model!$A254,Euro!$B$29:$D$182,3)),0)</f>
        <v>#VALUE!</v>
      </c>
      <c r="F254" s="203" t="e">
        <f aca="false">E254*B254</f>
        <v>#VALUE!</v>
      </c>
      <c r="H254" s="204" t="e">
        <f aca="false">IF(Control!$C$27="Mid",VLOOKUP($A254,CurveFetch!$D$8:$F$367,3),VLOOKUP($A254,Euro!$B$29:$I$182,8))</f>
        <v>#VALUE!</v>
      </c>
      <c r="I254" s="204"/>
      <c r="J254" s="204" t="e">
        <f aca="false">IF($J$4="Mid",VLOOKUP($A254,Curve_Fetch,VLOOKUP(Control!$AJ$10,Control!$AI$11:$AK$22,3)),VLOOKUP($A254,Euro!$B$29:$M$182,12))</f>
        <v>#VALUE!</v>
      </c>
      <c r="K254" s="205" t="e">
        <f aca="false">IF(Control!$F$18="Physical",IF($K$4="Mid",VLOOKUP($A254,Curve_Fetch,VLOOKUP(Control!$AJ$10,Control!$AI$11:$AL$22,4)),VLOOKUP($A254,Euro!$B$29:$Q$182,16)),0)</f>
        <v>#VALUE!</v>
      </c>
      <c r="L254" s="204" t="e">
        <f aca="false">SUM(J254:K254)</f>
        <v>#VALUE!</v>
      </c>
      <c r="M254" s="204"/>
      <c r="N254" s="206" t="e">
        <f aca="false">L254+H254</f>
        <v>#VALUE!</v>
      </c>
      <c r="O254" s="206" t="e">
        <f aca="false">N254+Control!$C$39</f>
        <v>#VALUE!</v>
      </c>
      <c r="P254" s="207" t="e">
        <f aca="false">VLOOKUP($A254,CurveFetch!$D$8:$E$367,2)</f>
        <v>#VALUE!</v>
      </c>
      <c r="Q254" s="208" t="e">
        <f aca="false">P254</f>
        <v>#VALUE!</v>
      </c>
      <c r="R254" s="209" t="e">
        <f aca="true">A254-1-TODAY()</f>
        <v>#VALUE!</v>
      </c>
      <c r="S254" s="210" t="e">
        <f aca="false">VLOOKUP($A254,Curve_Fetch,VLOOKUP(Control!$AJ$10,Control!$AI$11:$AM$22,5))</f>
        <v>#VALUE!</v>
      </c>
      <c r="T254" s="211" t="e">
        <f aca="false">EURO(N254,O254,P254,Q254,S254,R254,IF(Control!$C$38="Call",1,0),0)</f>
        <v>#NAME?</v>
      </c>
      <c r="U254" s="174" t="e">
        <f aca="false">T254*B254*E254</f>
        <v>#VALUE!</v>
      </c>
      <c r="V254" s="224"/>
      <c r="W254" s="213"/>
      <c r="X254" s="213"/>
      <c r="Y254" s="213"/>
      <c r="AA254" s="214"/>
      <c r="AB254" s="214"/>
      <c r="AC254" s="215"/>
      <c r="AD254" s="216"/>
      <c r="AE254" s="217"/>
      <c r="AF254" s="218"/>
      <c r="AG254" s="219"/>
      <c r="AH254" s="220"/>
      <c r="AI254" s="174"/>
      <c r="AJ254" s="171" t="e">
        <f aca="false">Y254-L254</f>
        <v>#VALUE!</v>
      </c>
      <c r="AL254" s="208" t="e">
        <f aca="false">VLOOKUP($C254,Curve_Fetch,2)+Cost_of_Funds</f>
        <v>#VALUE!</v>
      </c>
      <c r="AM254" s="210" t="e">
        <f aca="false">1/(1+AL254/2)^(2*(C254-Val_Date)/365.25)</f>
        <v>#VALUE!</v>
      </c>
      <c r="AO254" s="222" t="e">
        <f aca="false">$B254*$E254*$AM254</f>
        <v>#VALUE!</v>
      </c>
      <c r="AP254" s="222"/>
      <c r="AQ254" s="222" t="e">
        <f aca="false">H254*AO254</f>
        <v>#VALUE!</v>
      </c>
      <c r="AR254" s="222"/>
      <c r="AS254" s="174" t="e">
        <f aca="false">J254*$AO254</f>
        <v>#VALUE!</v>
      </c>
      <c r="AT254" s="174" t="e">
        <f aca="false">K254*$AO254</f>
        <v>#VALUE!</v>
      </c>
      <c r="AU254" s="174" t="e">
        <f aca="false">L254*$AO254</f>
        <v>#VALUE!</v>
      </c>
      <c r="AV254" s="174"/>
      <c r="AW254" s="174"/>
      <c r="AY254" s="220"/>
      <c r="AZ254" s="220"/>
      <c r="BA254" s="223"/>
      <c r="BC254" s="220"/>
      <c r="BE254" s="206"/>
    </row>
    <row r="255" customFormat="false" ht="12.75" hidden="false" customHeight="false" outlineLevel="0" collapsed="false">
      <c r="A255" s="167" t="e">
        <f aca="false">([1]!edate,A254,1)</f>
        <v>#VALUE!</v>
      </c>
      <c r="B255" s="201" t="e">
        <f aca="false">A256-A255</f>
        <v>#VALUE!</v>
      </c>
      <c r="C255" s="202" t="e">
        <f aca="false">IF(Control!$F$18="Physical",Model!A256+24,Model!A256)</f>
        <v>#VALUE!</v>
      </c>
      <c r="E255" s="203" t="e">
        <f aca="false">IF($A255&lt;End_Date,IF(Control!$C$20="Flat",Control!$C$21,VLOOKUP(Model!$A255,Euro!$B$29:$D$182,3)),0)</f>
        <v>#VALUE!</v>
      </c>
      <c r="F255" s="203" t="e">
        <f aca="false">E255*B255</f>
        <v>#VALUE!</v>
      </c>
      <c r="H255" s="204" t="e">
        <f aca="false">IF(Control!$C$27="Mid",VLOOKUP($A255,CurveFetch!$D$8:$F$367,3),VLOOKUP($A255,Euro!$B$29:$I$182,8))</f>
        <v>#VALUE!</v>
      </c>
      <c r="I255" s="204"/>
      <c r="J255" s="204" t="e">
        <f aca="false">IF($J$4="Mid",VLOOKUP($A255,Curve_Fetch,VLOOKUP(Control!$AJ$10,Control!$AI$11:$AK$22,3)),VLOOKUP($A255,Euro!$B$29:$M$182,12))</f>
        <v>#VALUE!</v>
      </c>
      <c r="K255" s="205" t="e">
        <f aca="false">IF(Control!$F$18="Physical",IF($K$4="Mid",VLOOKUP($A255,Curve_Fetch,VLOOKUP(Control!$AJ$10,Control!$AI$11:$AL$22,4)),VLOOKUP($A255,Euro!$B$29:$Q$182,16)),0)</f>
        <v>#VALUE!</v>
      </c>
      <c r="L255" s="204" t="e">
        <f aca="false">SUM(J255:K255)</f>
        <v>#VALUE!</v>
      </c>
      <c r="M255" s="204"/>
      <c r="N255" s="206" t="e">
        <f aca="false">L255+H255</f>
        <v>#VALUE!</v>
      </c>
      <c r="O255" s="206" t="e">
        <f aca="false">N255+Control!$C$39</f>
        <v>#VALUE!</v>
      </c>
      <c r="P255" s="207" t="e">
        <f aca="false">VLOOKUP($A255,CurveFetch!$D$8:$E$367,2)</f>
        <v>#VALUE!</v>
      </c>
      <c r="Q255" s="208" t="e">
        <f aca="false">P255</f>
        <v>#VALUE!</v>
      </c>
      <c r="R255" s="209" t="e">
        <f aca="true">A255-1-TODAY()</f>
        <v>#VALUE!</v>
      </c>
      <c r="S255" s="210" t="e">
        <f aca="false">VLOOKUP($A255,Curve_Fetch,VLOOKUP(Control!$AJ$10,Control!$AI$11:$AM$22,5))</f>
        <v>#VALUE!</v>
      </c>
      <c r="T255" s="211" t="e">
        <f aca="false">EURO(N255,O255,P255,Q255,S255,R255,IF(Control!$C$38="Call",1,0),0)</f>
        <v>#NAME?</v>
      </c>
      <c r="U255" s="174" t="e">
        <f aca="false">T255*B255*E255</f>
        <v>#VALUE!</v>
      </c>
      <c r="V255" s="224"/>
      <c r="W255" s="213"/>
      <c r="X255" s="213"/>
      <c r="Y255" s="213"/>
      <c r="AA255" s="214"/>
      <c r="AB255" s="214"/>
      <c r="AC255" s="215"/>
      <c r="AD255" s="216"/>
      <c r="AE255" s="217"/>
      <c r="AF255" s="218"/>
      <c r="AG255" s="219"/>
      <c r="AH255" s="220"/>
      <c r="AI255" s="174"/>
      <c r="AJ255" s="171" t="e">
        <f aca="false">Y255-L255</f>
        <v>#VALUE!</v>
      </c>
      <c r="AL255" s="208" t="e">
        <f aca="false">VLOOKUP($C255,Curve_Fetch,2)+Cost_of_Funds</f>
        <v>#VALUE!</v>
      </c>
      <c r="AM255" s="210" t="e">
        <f aca="false">1/(1+AL255/2)^(2*(C255-Val_Date)/365.25)</f>
        <v>#VALUE!</v>
      </c>
      <c r="AO255" s="222" t="e">
        <f aca="false">$B255*$E255*$AM255</f>
        <v>#VALUE!</v>
      </c>
      <c r="AP255" s="222"/>
      <c r="AQ255" s="222" t="e">
        <f aca="false">H255*AO255</f>
        <v>#VALUE!</v>
      </c>
      <c r="AR255" s="222"/>
      <c r="AS255" s="174" t="e">
        <f aca="false">J255*$AO255</f>
        <v>#VALUE!</v>
      </c>
      <c r="AT255" s="174" t="e">
        <f aca="false">K255*$AO255</f>
        <v>#VALUE!</v>
      </c>
      <c r="AU255" s="174" t="e">
        <f aca="false">L255*$AO255</f>
        <v>#VALUE!</v>
      </c>
      <c r="AV255" s="174"/>
      <c r="AW255" s="174"/>
      <c r="AY255" s="220"/>
      <c r="AZ255" s="220"/>
      <c r="BA255" s="223"/>
      <c r="BC255" s="220"/>
      <c r="BE255" s="206"/>
    </row>
    <row r="256" customFormat="false" ht="12.75" hidden="false" customHeight="false" outlineLevel="0" collapsed="false">
      <c r="A256" s="167" t="e">
        <f aca="false">([1]!edate,A255,1)</f>
        <v>#VALUE!</v>
      </c>
      <c r="B256" s="201" t="e">
        <f aca="false">A257-A256</f>
        <v>#VALUE!</v>
      </c>
      <c r="C256" s="202" t="e">
        <f aca="false">IF(Control!$F$18="Physical",Model!A257+24,Model!A257)</f>
        <v>#VALUE!</v>
      </c>
      <c r="E256" s="203" t="e">
        <f aca="false">IF($A256&lt;End_Date,IF(Control!$C$20="Flat",Control!$C$21,VLOOKUP(Model!$A256,Euro!$B$29:$D$182,3)),0)</f>
        <v>#VALUE!</v>
      </c>
      <c r="F256" s="203" t="e">
        <f aca="false">E256*B256</f>
        <v>#VALUE!</v>
      </c>
      <c r="H256" s="204" t="e">
        <f aca="false">IF(Control!$C$27="Mid",VLOOKUP($A256,CurveFetch!$D$8:$F$367,3),VLOOKUP($A256,Euro!$B$29:$I$182,8))</f>
        <v>#VALUE!</v>
      </c>
      <c r="I256" s="204"/>
      <c r="J256" s="204" t="e">
        <f aca="false">IF($J$4="Mid",VLOOKUP($A256,Curve_Fetch,VLOOKUP(Control!$AJ$10,Control!$AI$11:$AK$22,3)),VLOOKUP($A256,Euro!$B$29:$M$182,12))</f>
        <v>#VALUE!</v>
      </c>
      <c r="K256" s="205" t="e">
        <f aca="false">IF(Control!$F$18="Physical",IF($K$4="Mid",VLOOKUP($A256,Curve_Fetch,VLOOKUP(Control!$AJ$10,Control!$AI$11:$AL$22,4)),VLOOKUP($A256,Euro!$B$29:$Q$182,16)),0)</f>
        <v>#VALUE!</v>
      </c>
      <c r="L256" s="204" t="e">
        <f aca="false">SUM(J256:K256)</f>
        <v>#VALUE!</v>
      </c>
      <c r="M256" s="204"/>
      <c r="N256" s="206" t="e">
        <f aca="false">L256+H256</f>
        <v>#VALUE!</v>
      </c>
      <c r="O256" s="206" t="e">
        <f aca="false">N256+Control!$C$39</f>
        <v>#VALUE!</v>
      </c>
      <c r="P256" s="207" t="e">
        <f aca="false">VLOOKUP($A256,CurveFetch!$D$8:$E$367,2)</f>
        <v>#VALUE!</v>
      </c>
      <c r="Q256" s="208" t="e">
        <f aca="false">P256</f>
        <v>#VALUE!</v>
      </c>
      <c r="R256" s="209" t="e">
        <f aca="true">A256-1-TODAY()</f>
        <v>#VALUE!</v>
      </c>
      <c r="S256" s="210" t="e">
        <f aca="false">VLOOKUP($A256,Curve_Fetch,VLOOKUP(Control!$AJ$10,Control!$AI$11:$AM$22,5))</f>
        <v>#VALUE!</v>
      </c>
      <c r="T256" s="211" t="e">
        <f aca="false">EURO(N256,O256,P256,Q256,S256,R256,IF(Control!$C$38="Call",1,0),0)</f>
        <v>#NAME?</v>
      </c>
      <c r="U256" s="174" t="e">
        <f aca="false">T256*B256*E256</f>
        <v>#VALUE!</v>
      </c>
      <c r="V256" s="224"/>
      <c r="W256" s="213"/>
      <c r="X256" s="213"/>
      <c r="Y256" s="213"/>
      <c r="AA256" s="214"/>
      <c r="AB256" s="214"/>
      <c r="AC256" s="215"/>
      <c r="AD256" s="216"/>
      <c r="AE256" s="217"/>
      <c r="AF256" s="218"/>
      <c r="AG256" s="219"/>
      <c r="AH256" s="220"/>
      <c r="AI256" s="174"/>
      <c r="AJ256" s="171" t="e">
        <f aca="false">Y256-L256</f>
        <v>#VALUE!</v>
      </c>
      <c r="AL256" s="208" t="e">
        <f aca="false">VLOOKUP($C256,Curve_Fetch,2)+Cost_of_Funds</f>
        <v>#VALUE!</v>
      </c>
      <c r="AM256" s="210" t="e">
        <f aca="false">1/(1+AL256/2)^(2*(C256-Val_Date)/365.25)</f>
        <v>#VALUE!</v>
      </c>
      <c r="AO256" s="222" t="e">
        <f aca="false">$B256*$E256*$AM256</f>
        <v>#VALUE!</v>
      </c>
      <c r="AP256" s="222"/>
      <c r="AQ256" s="222" t="e">
        <f aca="false">H256*AO256</f>
        <v>#VALUE!</v>
      </c>
      <c r="AR256" s="222"/>
      <c r="AS256" s="174" t="e">
        <f aca="false">J256*$AO256</f>
        <v>#VALUE!</v>
      </c>
      <c r="AT256" s="174" t="e">
        <f aca="false">K256*$AO256</f>
        <v>#VALUE!</v>
      </c>
      <c r="AU256" s="174" t="e">
        <f aca="false">L256*$AO256</f>
        <v>#VALUE!</v>
      </c>
      <c r="AV256" s="174"/>
      <c r="AW256" s="174"/>
      <c r="AY256" s="220"/>
      <c r="AZ256" s="220"/>
      <c r="BA256" s="223"/>
      <c r="BC256" s="220"/>
      <c r="BE256" s="206"/>
    </row>
    <row r="257" customFormat="false" ht="12.75" hidden="false" customHeight="false" outlineLevel="0" collapsed="false">
      <c r="A257" s="167" t="e">
        <f aca="false">([1]!edate,A256,1)</f>
        <v>#VALUE!</v>
      </c>
      <c r="B257" s="201" t="e">
        <f aca="false">A258-A257</f>
        <v>#VALUE!</v>
      </c>
      <c r="C257" s="202" t="e">
        <f aca="false">IF(Control!$F$18="Physical",Model!A258+24,Model!A258)</f>
        <v>#VALUE!</v>
      </c>
      <c r="E257" s="203" t="e">
        <f aca="false">IF($A257&lt;End_Date,IF(Control!$C$20="Flat",Control!$C$21,VLOOKUP(Model!$A257,Euro!$B$29:$D$182,3)),0)</f>
        <v>#VALUE!</v>
      </c>
      <c r="F257" s="203" t="e">
        <f aca="false">E257*B257</f>
        <v>#VALUE!</v>
      </c>
      <c r="H257" s="204" t="e">
        <f aca="false">IF(Control!$C$27="Mid",VLOOKUP($A257,CurveFetch!$D$8:$F$367,3),VLOOKUP($A257,Euro!$B$29:$I$182,8))</f>
        <v>#VALUE!</v>
      </c>
      <c r="I257" s="204"/>
      <c r="J257" s="204" t="e">
        <f aca="false">IF($J$4="Mid",VLOOKUP($A257,Curve_Fetch,VLOOKUP(Control!$AJ$10,Control!$AI$11:$AK$22,3)),VLOOKUP($A257,Euro!$B$29:$M$182,12))</f>
        <v>#VALUE!</v>
      </c>
      <c r="K257" s="205" t="e">
        <f aca="false">IF(Control!$F$18="Physical",IF($K$4="Mid",VLOOKUP($A257,Curve_Fetch,VLOOKUP(Control!$AJ$10,Control!$AI$11:$AL$22,4)),VLOOKUP($A257,Euro!$B$29:$Q$182,16)),0)</f>
        <v>#VALUE!</v>
      </c>
      <c r="L257" s="204" t="e">
        <f aca="false">SUM(J257:K257)</f>
        <v>#VALUE!</v>
      </c>
      <c r="M257" s="204"/>
      <c r="N257" s="206" t="e">
        <f aca="false">L257+H257</f>
        <v>#VALUE!</v>
      </c>
      <c r="O257" s="206" t="e">
        <f aca="false">N257+Control!$C$39</f>
        <v>#VALUE!</v>
      </c>
      <c r="P257" s="207" t="e">
        <f aca="false">VLOOKUP($A257,CurveFetch!$D$8:$E$367,2)</f>
        <v>#VALUE!</v>
      </c>
      <c r="Q257" s="208" t="e">
        <f aca="false">P257</f>
        <v>#VALUE!</v>
      </c>
      <c r="R257" s="209" t="e">
        <f aca="true">A257-1-TODAY()</f>
        <v>#VALUE!</v>
      </c>
      <c r="S257" s="210" t="e">
        <f aca="false">VLOOKUP($A257,Curve_Fetch,VLOOKUP(Control!$AJ$10,Control!$AI$11:$AM$22,5))</f>
        <v>#VALUE!</v>
      </c>
      <c r="T257" s="211" t="e">
        <f aca="false">EURO(N257,O257,P257,Q257,S257,R257,IF(Control!$C$38="Call",1,0),0)</f>
        <v>#NAME?</v>
      </c>
      <c r="U257" s="174" t="e">
        <f aca="false">T257*B257*E257</f>
        <v>#VALUE!</v>
      </c>
      <c r="V257" s="224"/>
      <c r="W257" s="213"/>
      <c r="X257" s="213"/>
      <c r="Y257" s="213"/>
      <c r="AA257" s="214"/>
      <c r="AB257" s="214"/>
      <c r="AC257" s="215"/>
      <c r="AD257" s="216"/>
      <c r="AE257" s="217"/>
      <c r="AF257" s="218"/>
      <c r="AG257" s="219"/>
      <c r="AH257" s="220"/>
      <c r="AI257" s="174"/>
      <c r="AJ257" s="171" t="e">
        <f aca="false">Y257-L257</f>
        <v>#VALUE!</v>
      </c>
      <c r="AL257" s="208" t="e">
        <f aca="false">VLOOKUP($C257,Curve_Fetch,2)+Cost_of_Funds</f>
        <v>#VALUE!</v>
      </c>
      <c r="AM257" s="210" t="e">
        <f aca="false">1/(1+AL257/2)^(2*(C257-Val_Date)/365.25)</f>
        <v>#VALUE!</v>
      </c>
      <c r="AO257" s="222" t="e">
        <f aca="false">$B257*$E257*$AM257</f>
        <v>#VALUE!</v>
      </c>
      <c r="AP257" s="222"/>
      <c r="AQ257" s="222" t="e">
        <f aca="false">H257*AO257</f>
        <v>#VALUE!</v>
      </c>
      <c r="AR257" s="222"/>
      <c r="AS257" s="174" t="e">
        <f aca="false">J257*$AO257</f>
        <v>#VALUE!</v>
      </c>
      <c r="AT257" s="174" t="e">
        <f aca="false">K257*$AO257</f>
        <v>#VALUE!</v>
      </c>
      <c r="AU257" s="174" t="e">
        <f aca="false">L257*$AO257</f>
        <v>#VALUE!</v>
      </c>
      <c r="AV257" s="174"/>
      <c r="AW257" s="174"/>
      <c r="AY257" s="220"/>
      <c r="AZ257" s="220"/>
      <c r="BA257" s="223"/>
      <c r="BC257" s="220"/>
      <c r="BE257" s="206"/>
    </row>
    <row r="258" customFormat="false" ht="12.75" hidden="false" customHeight="false" outlineLevel="0" collapsed="false">
      <c r="A258" s="167" t="e">
        <f aca="false">([1]!edate,A257,1)</f>
        <v>#VALUE!</v>
      </c>
      <c r="B258" s="201" t="e">
        <f aca="false">A259-A258</f>
        <v>#VALUE!</v>
      </c>
      <c r="C258" s="202" t="e">
        <f aca="false">IF(Control!$F$18="Physical",Model!A259+24,Model!A259)</f>
        <v>#VALUE!</v>
      </c>
      <c r="E258" s="203" t="e">
        <f aca="false">IF($A258&lt;End_Date,IF(Control!$C$20="Flat",Control!$C$21,VLOOKUP(Model!$A258,Euro!$B$29:$D$182,3)),0)</f>
        <v>#VALUE!</v>
      </c>
      <c r="F258" s="203" t="e">
        <f aca="false">E258*B258</f>
        <v>#VALUE!</v>
      </c>
      <c r="H258" s="204" t="e">
        <f aca="false">IF(Control!$C$27="Mid",VLOOKUP($A258,CurveFetch!$D$8:$F$367,3),VLOOKUP($A258,Euro!$B$29:$I$182,8))</f>
        <v>#VALUE!</v>
      </c>
      <c r="I258" s="204"/>
      <c r="J258" s="204" t="e">
        <f aca="false">IF($J$4="Mid",VLOOKUP($A258,Curve_Fetch,VLOOKUP(Control!$AJ$10,Control!$AI$11:$AK$22,3)),VLOOKUP($A258,Euro!$B$29:$M$182,12))</f>
        <v>#VALUE!</v>
      </c>
      <c r="K258" s="205" t="e">
        <f aca="false">IF(Control!$F$18="Physical",IF($K$4="Mid",VLOOKUP($A258,Curve_Fetch,VLOOKUP(Control!$AJ$10,Control!$AI$11:$AL$22,4)),VLOOKUP($A258,Euro!$B$29:$Q$182,16)),0)</f>
        <v>#VALUE!</v>
      </c>
      <c r="L258" s="204" t="e">
        <f aca="false">SUM(J258:K258)</f>
        <v>#VALUE!</v>
      </c>
      <c r="M258" s="204"/>
      <c r="N258" s="206" t="e">
        <f aca="false">L258+H258</f>
        <v>#VALUE!</v>
      </c>
      <c r="O258" s="206" t="e">
        <f aca="false">N258+Control!$C$39</f>
        <v>#VALUE!</v>
      </c>
      <c r="P258" s="207" t="e">
        <f aca="false">VLOOKUP($A258,CurveFetch!$D$8:$E$367,2)</f>
        <v>#VALUE!</v>
      </c>
      <c r="Q258" s="208" t="e">
        <f aca="false">P258</f>
        <v>#VALUE!</v>
      </c>
      <c r="R258" s="209" t="e">
        <f aca="true">A258-1-TODAY()</f>
        <v>#VALUE!</v>
      </c>
      <c r="S258" s="210" t="e">
        <f aca="false">VLOOKUP($A258,Curve_Fetch,VLOOKUP(Control!$AJ$10,Control!$AI$11:$AM$22,5))</f>
        <v>#VALUE!</v>
      </c>
      <c r="T258" s="211" t="e">
        <f aca="false">EURO(N258,O258,P258,Q258,S258,R258,IF(Control!$C$38="Call",1,0),0)</f>
        <v>#NAME?</v>
      </c>
      <c r="U258" s="174" t="e">
        <f aca="false">T258*B258*E258</f>
        <v>#VALUE!</v>
      </c>
      <c r="V258" s="224"/>
      <c r="W258" s="213"/>
      <c r="X258" s="213"/>
      <c r="Y258" s="213"/>
      <c r="AA258" s="214"/>
      <c r="AB258" s="214"/>
      <c r="AC258" s="215"/>
      <c r="AD258" s="216"/>
      <c r="AE258" s="217"/>
      <c r="AF258" s="218"/>
      <c r="AG258" s="219"/>
      <c r="AH258" s="220"/>
      <c r="AI258" s="174"/>
      <c r="AJ258" s="171" t="e">
        <f aca="false">Y258-L258</f>
        <v>#VALUE!</v>
      </c>
      <c r="AL258" s="208" t="e">
        <f aca="false">VLOOKUP($C258,Curve_Fetch,2)+Cost_of_Funds</f>
        <v>#VALUE!</v>
      </c>
      <c r="AM258" s="210" t="e">
        <f aca="false">1/(1+AL258/2)^(2*(C258-Val_Date)/365.25)</f>
        <v>#VALUE!</v>
      </c>
      <c r="AO258" s="222" t="e">
        <f aca="false">$B258*$E258*$AM258</f>
        <v>#VALUE!</v>
      </c>
      <c r="AP258" s="222"/>
      <c r="AQ258" s="222" t="e">
        <f aca="false">H258*AO258</f>
        <v>#VALUE!</v>
      </c>
      <c r="AR258" s="222"/>
      <c r="AS258" s="174" t="e">
        <f aca="false">J258*$AO258</f>
        <v>#VALUE!</v>
      </c>
      <c r="AT258" s="174" t="e">
        <f aca="false">K258*$AO258</f>
        <v>#VALUE!</v>
      </c>
      <c r="AU258" s="174" t="e">
        <f aca="false">L258*$AO258</f>
        <v>#VALUE!</v>
      </c>
      <c r="AV258" s="174"/>
      <c r="AW258" s="174"/>
      <c r="AY258" s="220"/>
      <c r="AZ258" s="220"/>
      <c r="BA258" s="223"/>
      <c r="BC258" s="220"/>
      <c r="BE258" s="206"/>
    </row>
    <row r="259" customFormat="false" ht="12.75" hidden="false" customHeight="false" outlineLevel="0" collapsed="false">
      <c r="A259" s="167" t="e">
        <f aca="false">([1]!edate,A258,1)</f>
        <v>#VALUE!</v>
      </c>
      <c r="B259" s="201" t="e">
        <f aca="false">A260-A259</f>
        <v>#VALUE!</v>
      </c>
      <c r="C259" s="202" t="e">
        <f aca="false">IF(Control!$F$18="Physical",Model!A260+24,Model!A260)</f>
        <v>#VALUE!</v>
      </c>
      <c r="E259" s="203" t="e">
        <f aca="false">IF($A259&lt;End_Date,IF(Control!$C$20="Flat",Control!$C$21,VLOOKUP(Model!$A259,Euro!$B$29:$D$182,3)),0)</f>
        <v>#VALUE!</v>
      </c>
      <c r="F259" s="203" t="e">
        <f aca="false">E259*B259</f>
        <v>#VALUE!</v>
      </c>
      <c r="H259" s="204" t="e">
        <f aca="false">IF(Control!$C$27="Mid",VLOOKUP($A259,CurveFetch!$D$8:$F$367,3),VLOOKUP($A259,Euro!$B$29:$I$182,8))</f>
        <v>#VALUE!</v>
      </c>
      <c r="I259" s="204"/>
      <c r="J259" s="204" t="e">
        <f aca="false">IF($J$4="Mid",VLOOKUP($A259,Curve_Fetch,VLOOKUP(Control!$AJ$10,Control!$AI$11:$AK$22,3)),VLOOKUP($A259,Euro!$B$29:$M$182,12))</f>
        <v>#VALUE!</v>
      </c>
      <c r="K259" s="205" t="e">
        <f aca="false">IF(Control!$F$18="Physical",IF($K$4="Mid",VLOOKUP($A259,Curve_Fetch,VLOOKUP(Control!$AJ$10,Control!$AI$11:$AL$22,4)),VLOOKUP($A259,Euro!$B$29:$Q$182,16)),0)</f>
        <v>#VALUE!</v>
      </c>
      <c r="L259" s="204" t="e">
        <f aca="false">SUM(J259:K259)</f>
        <v>#VALUE!</v>
      </c>
      <c r="M259" s="204"/>
      <c r="N259" s="206" t="e">
        <f aca="false">L259+H259</f>
        <v>#VALUE!</v>
      </c>
      <c r="O259" s="206" t="e">
        <f aca="false">N259+Control!$C$39</f>
        <v>#VALUE!</v>
      </c>
      <c r="P259" s="207" t="e">
        <f aca="false">VLOOKUP($A259,CurveFetch!$D$8:$E$367,2)</f>
        <v>#VALUE!</v>
      </c>
      <c r="Q259" s="208" t="e">
        <f aca="false">P259</f>
        <v>#VALUE!</v>
      </c>
      <c r="R259" s="209" t="e">
        <f aca="true">A259-1-TODAY()</f>
        <v>#VALUE!</v>
      </c>
      <c r="S259" s="210" t="e">
        <f aca="false">VLOOKUP($A259,Curve_Fetch,VLOOKUP(Control!$AJ$10,Control!$AI$11:$AM$22,5))</f>
        <v>#VALUE!</v>
      </c>
      <c r="T259" s="211" t="e">
        <f aca="false">EURO(N259,O259,P259,Q259,S259,R259,IF(Control!$C$38="Call",1,0),0)</f>
        <v>#NAME?</v>
      </c>
      <c r="U259" s="174" t="e">
        <f aca="false">T259*B259*E259</f>
        <v>#VALUE!</v>
      </c>
      <c r="V259" s="224"/>
      <c r="W259" s="213"/>
      <c r="X259" s="213"/>
      <c r="Y259" s="213"/>
      <c r="AA259" s="214"/>
      <c r="AB259" s="214"/>
      <c r="AC259" s="215"/>
      <c r="AD259" s="216"/>
      <c r="AE259" s="217"/>
      <c r="AF259" s="218"/>
      <c r="AG259" s="219"/>
      <c r="AH259" s="220"/>
      <c r="AI259" s="174"/>
      <c r="AJ259" s="171" t="e">
        <f aca="false">Y259-L259</f>
        <v>#VALUE!</v>
      </c>
      <c r="AL259" s="208" t="e">
        <f aca="false">VLOOKUP($C259,Curve_Fetch,2)+Cost_of_Funds</f>
        <v>#VALUE!</v>
      </c>
      <c r="AM259" s="210" t="e">
        <f aca="false">1/(1+AL259/2)^(2*(C259-Val_Date)/365.25)</f>
        <v>#VALUE!</v>
      </c>
      <c r="AO259" s="222" t="e">
        <f aca="false">$B259*$E259*$AM259</f>
        <v>#VALUE!</v>
      </c>
      <c r="AP259" s="222"/>
      <c r="AQ259" s="222" t="e">
        <f aca="false">H259*AO259</f>
        <v>#VALUE!</v>
      </c>
      <c r="AR259" s="222"/>
      <c r="AS259" s="174" t="e">
        <f aca="false">J259*$AO259</f>
        <v>#VALUE!</v>
      </c>
      <c r="AT259" s="174" t="e">
        <f aca="false">K259*$AO259</f>
        <v>#VALUE!</v>
      </c>
      <c r="AU259" s="174" t="e">
        <f aca="false">L259*$AO259</f>
        <v>#VALUE!</v>
      </c>
      <c r="AV259" s="174"/>
      <c r="AW259" s="174"/>
      <c r="AY259" s="220"/>
      <c r="AZ259" s="220"/>
      <c r="BA259" s="223"/>
      <c r="BC259" s="220"/>
      <c r="BE259" s="206"/>
    </row>
    <row r="260" customFormat="false" ht="12.75" hidden="false" customHeight="false" outlineLevel="0" collapsed="false">
      <c r="A260" s="167" t="e">
        <f aca="false">([1]!edate,A259,1)</f>
        <v>#VALUE!</v>
      </c>
      <c r="B260" s="201" t="e">
        <f aca="false">A261-A260</f>
        <v>#VALUE!</v>
      </c>
      <c r="C260" s="202" t="e">
        <f aca="false">IF(Control!$F$18="Physical",Model!A261+24,Model!A261)</f>
        <v>#VALUE!</v>
      </c>
      <c r="E260" s="203" t="e">
        <f aca="false">IF($A260&lt;End_Date,IF(Control!$C$20="Flat",Control!$C$21,VLOOKUP(Model!$A260,Euro!$B$29:$D$182,3)),0)</f>
        <v>#VALUE!</v>
      </c>
      <c r="F260" s="203" t="e">
        <f aca="false">E260*B260</f>
        <v>#VALUE!</v>
      </c>
      <c r="H260" s="204" t="e">
        <f aca="false">IF(Control!$C$27="Mid",VLOOKUP($A260,CurveFetch!$D$8:$F$367,3),VLOOKUP($A260,Euro!$B$29:$I$182,8))</f>
        <v>#VALUE!</v>
      </c>
      <c r="I260" s="204"/>
      <c r="J260" s="204" t="e">
        <f aca="false">IF($J$4="Mid",VLOOKUP($A260,Curve_Fetch,VLOOKUP(Control!$AJ$10,Control!$AI$11:$AK$22,3)),VLOOKUP($A260,Euro!$B$29:$M$182,12))</f>
        <v>#VALUE!</v>
      </c>
      <c r="K260" s="205" t="e">
        <f aca="false">IF(Control!$F$18="Physical",IF($K$4="Mid",VLOOKUP($A260,Curve_Fetch,VLOOKUP(Control!$AJ$10,Control!$AI$11:$AL$22,4)),VLOOKUP($A260,Euro!$B$29:$Q$182,16)),0)</f>
        <v>#VALUE!</v>
      </c>
      <c r="L260" s="204" t="e">
        <f aca="false">SUM(J260:K260)</f>
        <v>#VALUE!</v>
      </c>
      <c r="M260" s="204"/>
      <c r="N260" s="206" t="e">
        <f aca="false">L260+H260</f>
        <v>#VALUE!</v>
      </c>
      <c r="O260" s="206" t="e">
        <f aca="false">N260+Control!$C$39</f>
        <v>#VALUE!</v>
      </c>
      <c r="P260" s="207" t="e">
        <f aca="false">VLOOKUP($A260,CurveFetch!$D$8:$E$367,2)</f>
        <v>#VALUE!</v>
      </c>
      <c r="Q260" s="208" t="e">
        <f aca="false">P260</f>
        <v>#VALUE!</v>
      </c>
      <c r="R260" s="209" t="e">
        <f aca="true">A260-1-TODAY()</f>
        <v>#VALUE!</v>
      </c>
      <c r="S260" s="210" t="e">
        <f aca="false">VLOOKUP($A260,Curve_Fetch,VLOOKUP(Control!$AJ$10,Control!$AI$11:$AM$22,5))</f>
        <v>#VALUE!</v>
      </c>
      <c r="T260" s="211" t="e">
        <f aca="false">EURO(N260,O260,P260,Q260,S260,R260,IF(Control!$C$38="Call",1,0),0)</f>
        <v>#NAME?</v>
      </c>
      <c r="U260" s="174" t="e">
        <f aca="false">T260*B260*E260</f>
        <v>#VALUE!</v>
      </c>
      <c r="V260" s="224"/>
      <c r="W260" s="213"/>
      <c r="X260" s="213"/>
      <c r="Y260" s="213"/>
      <c r="AA260" s="214"/>
      <c r="AB260" s="214"/>
      <c r="AC260" s="215"/>
      <c r="AD260" s="216"/>
      <c r="AE260" s="217"/>
      <c r="AF260" s="218"/>
      <c r="AG260" s="219"/>
      <c r="AH260" s="220"/>
      <c r="AI260" s="174"/>
      <c r="AJ260" s="171" t="e">
        <f aca="false">Y260-L260</f>
        <v>#VALUE!</v>
      </c>
      <c r="AL260" s="208" t="e">
        <f aca="false">VLOOKUP($C260,Curve_Fetch,2)+Cost_of_Funds</f>
        <v>#VALUE!</v>
      </c>
      <c r="AM260" s="210" t="e">
        <f aca="false">1/(1+AL260/2)^(2*(C260-Val_Date)/365.25)</f>
        <v>#VALUE!</v>
      </c>
      <c r="AO260" s="222" t="e">
        <f aca="false">$B260*$E260*$AM260</f>
        <v>#VALUE!</v>
      </c>
      <c r="AP260" s="222"/>
      <c r="AQ260" s="222" t="e">
        <f aca="false">H260*AO260</f>
        <v>#VALUE!</v>
      </c>
      <c r="AR260" s="222"/>
      <c r="AS260" s="174" t="e">
        <f aca="false">J260*$AO260</f>
        <v>#VALUE!</v>
      </c>
      <c r="AT260" s="174" t="e">
        <f aca="false">K260*$AO260</f>
        <v>#VALUE!</v>
      </c>
      <c r="AU260" s="174" t="e">
        <f aca="false">L260*$AO260</f>
        <v>#VALUE!</v>
      </c>
      <c r="AV260" s="174"/>
      <c r="AW260" s="174"/>
      <c r="AY260" s="220"/>
      <c r="AZ260" s="220"/>
      <c r="BA260" s="223"/>
      <c r="BC260" s="220"/>
      <c r="BE260" s="206"/>
    </row>
    <row r="261" customFormat="false" ht="12.75" hidden="false" customHeight="false" outlineLevel="0" collapsed="false">
      <c r="A261" s="167" t="e">
        <f aca="false">([1]!edate,A260,1)</f>
        <v>#VALUE!</v>
      </c>
      <c r="B261" s="201" t="e">
        <f aca="false">A262-A261</f>
        <v>#VALUE!</v>
      </c>
      <c r="C261" s="202" t="e">
        <f aca="false">IF(Control!$F$18="Physical",Model!A262+24,Model!A262)</f>
        <v>#VALUE!</v>
      </c>
      <c r="E261" s="203" t="e">
        <f aca="false">IF($A261&lt;End_Date,IF(Control!$C$20="Flat",Control!$C$21,VLOOKUP(Model!$A261,Euro!$B$29:$D$182,3)),0)</f>
        <v>#VALUE!</v>
      </c>
      <c r="F261" s="203" t="e">
        <f aca="false">E261*B261</f>
        <v>#VALUE!</v>
      </c>
      <c r="H261" s="204" t="e">
        <f aca="false">IF(Control!$C$27="Mid",VLOOKUP($A261,CurveFetch!$D$8:$F$367,3),VLOOKUP($A261,Euro!$B$29:$I$182,8))</f>
        <v>#VALUE!</v>
      </c>
      <c r="I261" s="204"/>
      <c r="J261" s="204" t="e">
        <f aca="false">IF($J$4="Mid",VLOOKUP($A261,Curve_Fetch,VLOOKUP(Control!$AJ$10,Control!$AI$11:$AK$22,3)),VLOOKUP($A261,Euro!$B$29:$M$182,12))</f>
        <v>#VALUE!</v>
      </c>
      <c r="K261" s="205" t="e">
        <f aca="false">IF(Control!$F$18="Physical",IF($K$4="Mid",VLOOKUP($A261,Curve_Fetch,VLOOKUP(Control!$AJ$10,Control!$AI$11:$AL$22,4)),VLOOKUP($A261,Euro!$B$29:$Q$182,16)),0)</f>
        <v>#VALUE!</v>
      </c>
      <c r="L261" s="204" t="e">
        <f aca="false">SUM(J261:K261)</f>
        <v>#VALUE!</v>
      </c>
      <c r="M261" s="204"/>
      <c r="N261" s="206" t="e">
        <f aca="false">L261+H261</f>
        <v>#VALUE!</v>
      </c>
      <c r="O261" s="206" t="e">
        <f aca="false">N261+Control!$C$39</f>
        <v>#VALUE!</v>
      </c>
      <c r="P261" s="207" t="e">
        <f aca="false">VLOOKUP($A261,CurveFetch!$D$8:$E$367,2)</f>
        <v>#VALUE!</v>
      </c>
      <c r="Q261" s="208" t="e">
        <f aca="false">P261</f>
        <v>#VALUE!</v>
      </c>
      <c r="R261" s="209" t="e">
        <f aca="true">A261-1-TODAY()</f>
        <v>#VALUE!</v>
      </c>
      <c r="S261" s="210" t="e">
        <f aca="false">VLOOKUP($A261,Curve_Fetch,VLOOKUP(Control!$AJ$10,Control!$AI$11:$AM$22,5))</f>
        <v>#VALUE!</v>
      </c>
      <c r="T261" s="211" t="e">
        <f aca="false">EURO(N261,O261,P261,Q261,S261,R261,IF(Control!$C$38="Call",1,0),0)</f>
        <v>#NAME?</v>
      </c>
      <c r="U261" s="174" t="e">
        <f aca="false">T261*B261*E261</f>
        <v>#VALUE!</v>
      </c>
      <c r="V261" s="224"/>
      <c r="W261" s="213"/>
      <c r="X261" s="213"/>
      <c r="Y261" s="213"/>
      <c r="AA261" s="214"/>
      <c r="AB261" s="214"/>
      <c r="AC261" s="215"/>
      <c r="AD261" s="216"/>
      <c r="AE261" s="217"/>
      <c r="AF261" s="218"/>
      <c r="AG261" s="219"/>
      <c r="AH261" s="220"/>
      <c r="AI261" s="174"/>
      <c r="AJ261" s="171" t="e">
        <f aca="false">Y261-L261</f>
        <v>#VALUE!</v>
      </c>
      <c r="AL261" s="208" t="e">
        <f aca="false">VLOOKUP($C261,Curve_Fetch,2)+Cost_of_Funds</f>
        <v>#VALUE!</v>
      </c>
      <c r="AM261" s="210" t="e">
        <f aca="false">1/(1+AL261/2)^(2*(C261-Val_Date)/365.25)</f>
        <v>#VALUE!</v>
      </c>
      <c r="AO261" s="222" t="e">
        <f aca="false">$B261*$E261*$AM261</f>
        <v>#VALUE!</v>
      </c>
      <c r="AP261" s="222"/>
      <c r="AQ261" s="222" t="e">
        <f aca="false">H261*AO261</f>
        <v>#VALUE!</v>
      </c>
      <c r="AR261" s="222"/>
      <c r="AS261" s="174" t="e">
        <f aca="false">J261*$AO261</f>
        <v>#VALUE!</v>
      </c>
      <c r="AT261" s="174" t="e">
        <f aca="false">K261*$AO261</f>
        <v>#VALUE!</v>
      </c>
      <c r="AU261" s="174" t="e">
        <f aca="false">L261*$AO261</f>
        <v>#VALUE!</v>
      </c>
      <c r="AV261" s="174"/>
      <c r="AW261" s="174"/>
      <c r="AY261" s="220"/>
      <c r="AZ261" s="220"/>
      <c r="BA261" s="223"/>
      <c r="BC261" s="220"/>
      <c r="BE261" s="206"/>
    </row>
    <row r="262" customFormat="false" ht="12.75" hidden="false" customHeight="false" outlineLevel="0" collapsed="false">
      <c r="A262" s="167" t="e">
        <f aca="false">([1]!edate,A261,1)</f>
        <v>#VALUE!</v>
      </c>
      <c r="B262" s="201" t="e">
        <f aca="false">A263-A262</f>
        <v>#VALUE!</v>
      </c>
      <c r="C262" s="202" t="e">
        <f aca="false">IF(Control!$F$18="Physical",Model!A263+24,Model!A263)</f>
        <v>#VALUE!</v>
      </c>
      <c r="E262" s="203" t="e">
        <f aca="false">IF($A262&lt;End_Date,IF(Control!$C$20="Flat",Control!$C$21,VLOOKUP(Model!$A262,Euro!$B$29:$D$182,3)),0)</f>
        <v>#VALUE!</v>
      </c>
      <c r="F262" s="203" t="e">
        <f aca="false">E262*B262</f>
        <v>#VALUE!</v>
      </c>
      <c r="H262" s="204" t="e">
        <f aca="false">IF(Control!$C$27="Mid",VLOOKUP($A262,CurveFetch!$D$8:$F$367,3),VLOOKUP($A262,Euro!$B$29:$I$182,8))</f>
        <v>#VALUE!</v>
      </c>
      <c r="I262" s="204"/>
      <c r="J262" s="204" t="e">
        <f aca="false">IF($J$4="Mid",VLOOKUP($A262,Curve_Fetch,VLOOKUP(Control!$AJ$10,Control!$AI$11:$AK$22,3)),VLOOKUP($A262,Euro!$B$29:$M$182,12))</f>
        <v>#VALUE!</v>
      </c>
      <c r="K262" s="205" t="e">
        <f aca="false">IF(Control!$F$18="Physical",IF($K$4="Mid",VLOOKUP($A262,Curve_Fetch,VLOOKUP(Control!$AJ$10,Control!$AI$11:$AL$22,4)),VLOOKUP($A262,Euro!$B$29:$Q$182,16)),0)</f>
        <v>#VALUE!</v>
      </c>
      <c r="L262" s="204" t="e">
        <f aca="false">SUM(J262:K262)</f>
        <v>#VALUE!</v>
      </c>
      <c r="M262" s="204"/>
      <c r="N262" s="206" t="e">
        <f aca="false">L262+H262</f>
        <v>#VALUE!</v>
      </c>
      <c r="O262" s="206" t="e">
        <f aca="false">N262+Control!$C$39</f>
        <v>#VALUE!</v>
      </c>
      <c r="P262" s="207" t="e">
        <f aca="false">VLOOKUP($A262,CurveFetch!$D$8:$E$367,2)</f>
        <v>#VALUE!</v>
      </c>
      <c r="Q262" s="208" t="e">
        <f aca="false">P262</f>
        <v>#VALUE!</v>
      </c>
      <c r="R262" s="209" t="e">
        <f aca="true">A262-1-TODAY()</f>
        <v>#VALUE!</v>
      </c>
      <c r="S262" s="210" t="e">
        <f aca="false">VLOOKUP($A262,Curve_Fetch,VLOOKUP(Control!$AJ$10,Control!$AI$11:$AM$22,5))</f>
        <v>#VALUE!</v>
      </c>
      <c r="T262" s="211" t="e">
        <f aca="false">EURO(N262,O262,P262,Q262,S262,R262,IF(Control!$C$38="Call",1,0),0)</f>
        <v>#NAME?</v>
      </c>
      <c r="U262" s="174" t="e">
        <f aca="false">T262*B262*E262</f>
        <v>#VALUE!</v>
      </c>
      <c r="V262" s="224"/>
      <c r="W262" s="213"/>
      <c r="X262" s="213"/>
      <c r="Y262" s="213"/>
      <c r="AA262" s="214"/>
      <c r="AB262" s="214"/>
      <c r="AC262" s="215"/>
      <c r="AD262" s="216"/>
      <c r="AE262" s="217"/>
      <c r="AF262" s="218"/>
      <c r="AG262" s="219"/>
      <c r="AH262" s="220"/>
      <c r="AI262" s="174"/>
      <c r="AJ262" s="171" t="e">
        <f aca="false">Y262-L262</f>
        <v>#VALUE!</v>
      </c>
      <c r="AL262" s="208" t="e">
        <f aca="false">VLOOKUP($C262,Curve_Fetch,2)+Cost_of_Funds</f>
        <v>#VALUE!</v>
      </c>
      <c r="AM262" s="210" t="e">
        <f aca="false">1/(1+AL262/2)^(2*(C262-Val_Date)/365.25)</f>
        <v>#VALUE!</v>
      </c>
      <c r="AO262" s="222" t="e">
        <f aca="false">$B262*$E262*$AM262</f>
        <v>#VALUE!</v>
      </c>
      <c r="AP262" s="222"/>
      <c r="AQ262" s="222" t="e">
        <f aca="false">H262*AO262</f>
        <v>#VALUE!</v>
      </c>
      <c r="AR262" s="222"/>
      <c r="AS262" s="174" t="e">
        <f aca="false">J262*$AO262</f>
        <v>#VALUE!</v>
      </c>
      <c r="AT262" s="174" t="e">
        <f aca="false">K262*$AO262</f>
        <v>#VALUE!</v>
      </c>
      <c r="AU262" s="174" t="e">
        <f aca="false">L262*$AO262</f>
        <v>#VALUE!</v>
      </c>
      <c r="AV262" s="174"/>
      <c r="AW262" s="174"/>
      <c r="AY262" s="220"/>
      <c r="AZ262" s="220"/>
      <c r="BA262" s="223"/>
      <c r="BC262" s="220"/>
      <c r="BE262" s="206"/>
    </row>
    <row r="263" customFormat="false" ht="12.75" hidden="false" customHeight="false" outlineLevel="0" collapsed="false">
      <c r="A263" s="167" t="e">
        <f aca="false">([1]!edate,A262,1)</f>
        <v>#VALUE!</v>
      </c>
      <c r="B263" s="201" t="e">
        <f aca="false">A264-A263</f>
        <v>#VALUE!</v>
      </c>
      <c r="C263" s="202" t="e">
        <f aca="false">IF(Control!$F$18="Physical",Model!A264+24,Model!A264)</f>
        <v>#VALUE!</v>
      </c>
      <c r="E263" s="203" t="e">
        <f aca="false">IF($A263&lt;End_Date,IF(Control!$C$20="Flat",Control!$C$21,VLOOKUP(Model!$A263,Euro!$B$29:$D$182,3)),0)</f>
        <v>#VALUE!</v>
      </c>
      <c r="F263" s="203" t="e">
        <f aca="false">E263*B263</f>
        <v>#VALUE!</v>
      </c>
      <c r="H263" s="204" t="e">
        <f aca="false">IF(Control!$C$27="Mid",VLOOKUP($A263,CurveFetch!$D$8:$F$367,3),VLOOKUP($A263,Euro!$B$29:$I$182,8))</f>
        <v>#VALUE!</v>
      </c>
      <c r="I263" s="204"/>
      <c r="J263" s="204" t="e">
        <f aca="false">IF($J$4="Mid",VLOOKUP($A263,Curve_Fetch,VLOOKUP(Control!$AJ$10,Control!$AI$11:$AK$22,3)),VLOOKUP($A263,Euro!$B$29:$M$182,12))</f>
        <v>#VALUE!</v>
      </c>
      <c r="K263" s="205" t="e">
        <f aca="false">IF(Control!$F$18="Physical",IF($K$4="Mid",VLOOKUP($A263,Curve_Fetch,VLOOKUP(Control!$AJ$10,Control!$AI$11:$AL$22,4)),VLOOKUP($A263,Euro!$B$29:$Q$182,16)),0)</f>
        <v>#VALUE!</v>
      </c>
      <c r="L263" s="204" t="e">
        <f aca="false">SUM(J263:K263)</f>
        <v>#VALUE!</v>
      </c>
      <c r="M263" s="204"/>
      <c r="N263" s="206" t="e">
        <f aca="false">L263+H263</f>
        <v>#VALUE!</v>
      </c>
      <c r="O263" s="206" t="e">
        <f aca="false">N263+Control!$C$39</f>
        <v>#VALUE!</v>
      </c>
      <c r="P263" s="207" t="e">
        <f aca="false">VLOOKUP($A263,CurveFetch!$D$8:$E$367,2)</f>
        <v>#VALUE!</v>
      </c>
      <c r="Q263" s="208" t="e">
        <f aca="false">P263</f>
        <v>#VALUE!</v>
      </c>
      <c r="R263" s="209" t="e">
        <f aca="true">A263-1-TODAY()</f>
        <v>#VALUE!</v>
      </c>
      <c r="S263" s="210" t="e">
        <f aca="false">VLOOKUP($A263,Curve_Fetch,VLOOKUP(Control!$AJ$10,Control!$AI$11:$AM$22,5))</f>
        <v>#VALUE!</v>
      </c>
      <c r="T263" s="211" t="e">
        <f aca="false">EURO(N263,O263,P263,Q263,S263,R263,IF(Control!$C$38="Call",1,0),0)</f>
        <v>#NAME?</v>
      </c>
      <c r="U263" s="174" t="e">
        <f aca="false">T263*B263*E263</f>
        <v>#VALUE!</v>
      </c>
      <c r="V263" s="224"/>
      <c r="W263" s="213"/>
      <c r="X263" s="213"/>
      <c r="Y263" s="213"/>
      <c r="AA263" s="214"/>
      <c r="AB263" s="214"/>
      <c r="AC263" s="215"/>
      <c r="AD263" s="216"/>
      <c r="AE263" s="217"/>
      <c r="AF263" s="218"/>
      <c r="AG263" s="219"/>
      <c r="AH263" s="220"/>
      <c r="AI263" s="174"/>
      <c r="AJ263" s="171" t="e">
        <f aca="false">Y263-L263</f>
        <v>#VALUE!</v>
      </c>
      <c r="AL263" s="208" t="e">
        <f aca="false">VLOOKUP($C263,Curve_Fetch,2)+Cost_of_Funds</f>
        <v>#VALUE!</v>
      </c>
      <c r="AM263" s="210" t="e">
        <f aca="false">1/(1+AL263/2)^(2*(C263-Val_Date)/365.25)</f>
        <v>#VALUE!</v>
      </c>
      <c r="AO263" s="222" t="e">
        <f aca="false">$B263*$E263*$AM263</f>
        <v>#VALUE!</v>
      </c>
      <c r="AP263" s="222"/>
      <c r="AQ263" s="222" t="e">
        <f aca="false">H263*AO263</f>
        <v>#VALUE!</v>
      </c>
      <c r="AR263" s="222"/>
      <c r="AS263" s="174" t="e">
        <f aca="false">J263*$AO263</f>
        <v>#VALUE!</v>
      </c>
      <c r="AT263" s="174" t="e">
        <f aca="false">K263*$AO263</f>
        <v>#VALUE!</v>
      </c>
      <c r="AU263" s="174" t="e">
        <f aca="false">L263*$AO263</f>
        <v>#VALUE!</v>
      </c>
      <c r="AV263" s="174"/>
      <c r="AW263" s="174"/>
      <c r="AY263" s="220"/>
      <c r="AZ263" s="220"/>
      <c r="BA263" s="223"/>
      <c r="BC263" s="220"/>
      <c r="BE263" s="206"/>
    </row>
    <row r="264" customFormat="false" ht="12.75" hidden="false" customHeight="false" outlineLevel="0" collapsed="false">
      <c r="A264" s="167" t="e">
        <f aca="false">([1]!edate,A263,1)</f>
        <v>#VALUE!</v>
      </c>
      <c r="B264" s="201" t="e">
        <f aca="false">A265-A264</f>
        <v>#VALUE!</v>
      </c>
      <c r="C264" s="202" t="e">
        <f aca="false">IF(Control!$F$18="Physical",Model!A265+24,Model!A265)</f>
        <v>#VALUE!</v>
      </c>
      <c r="E264" s="203" t="e">
        <f aca="false">IF($A264&lt;End_Date,IF(Control!$C$20="Flat",Control!$C$21,VLOOKUP(Model!$A264,Euro!$B$29:$D$182,3)),0)</f>
        <v>#VALUE!</v>
      </c>
      <c r="F264" s="203" t="e">
        <f aca="false">E264*B264</f>
        <v>#VALUE!</v>
      </c>
      <c r="H264" s="204" t="e">
        <f aca="false">IF(Control!$C$27="Mid",VLOOKUP($A264,CurveFetch!$D$8:$F$367,3),VLOOKUP($A264,Euro!$B$29:$I$182,8))</f>
        <v>#VALUE!</v>
      </c>
      <c r="I264" s="204"/>
      <c r="J264" s="204" t="e">
        <f aca="false">IF($J$4="Mid",VLOOKUP($A264,Curve_Fetch,VLOOKUP(Control!$AJ$10,Control!$AI$11:$AK$22,3)),VLOOKUP($A264,Euro!$B$29:$M$182,12))</f>
        <v>#VALUE!</v>
      </c>
      <c r="K264" s="205" t="e">
        <f aca="false">IF(Control!$F$18="Physical",IF($K$4="Mid",VLOOKUP($A264,Curve_Fetch,VLOOKUP(Control!$AJ$10,Control!$AI$11:$AL$22,4)),VLOOKUP($A264,Euro!$B$29:$Q$182,16)),0)</f>
        <v>#VALUE!</v>
      </c>
      <c r="L264" s="204" t="e">
        <f aca="false">SUM(J264:K264)</f>
        <v>#VALUE!</v>
      </c>
      <c r="M264" s="204"/>
      <c r="N264" s="206" t="e">
        <f aca="false">L264+H264</f>
        <v>#VALUE!</v>
      </c>
      <c r="O264" s="206" t="e">
        <f aca="false">N264+Control!$C$39</f>
        <v>#VALUE!</v>
      </c>
      <c r="P264" s="207" t="e">
        <f aca="false">VLOOKUP($A264,CurveFetch!$D$8:$E$367,2)</f>
        <v>#VALUE!</v>
      </c>
      <c r="Q264" s="208" t="e">
        <f aca="false">P264</f>
        <v>#VALUE!</v>
      </c>
      <c r="R264" s="209" t="e">
        <f aca="true">A264-1-TODAY()</f>
        <v>#VALUE!</v>
      </c>
      <c r="S264" s="210" t="e">
        <f aca="false">VLOOKUP($A264,Curve_Fetch,VLOOKUP(Control!$AJ$10,Control!$AI$11:$AM$22,5))</f>
        <v>#VALUE!</v>
      </c>
      <c r="T264" s="211" t="e">
        <f aca="false">EURO(N264,O264,P264,Q264,S264,R264,IF(Control!$C$38="Call",1,0),0)</f>
        <v>#NAME?</v>
      </c>
      <c r="U264" s="174" t="e">
        <f aca="false">T264*B264*E264</f>
        <v>#VALUE!</v>
      </c>
      <c r="V264" s="224"/>
      <c r="W264" s="213"/>
      <c r="X264" s="213"/>
      <c r="Y264" s="213"/>
      <c r="AA264" s="214"/>
      <c r="AB264" s="214"/>
      <c r="AC264" s="215"/>
      <c r="AD264" s="216"/>
      <c r="AE264" s="217"/>
      <c r="AF264" s="218"/>
      <c r="AG264" s="219"/>
      <c r="AH264" s="220"/>
      <c r="AI264" s="174"/>
      <c r="AJ264" s="171" t="e">
        <f aca="false">Y264-L264</f>
        <v>#VALUE!</v>
      </c>
      <c r="AL264" s="208" t="e">
        <f aca="false">VLOOKUP($C264,Curve_Fetch,2)+Cost_of_Funds</f>
        <v>#VALUE!</v>
      </c>
      <c r="AM264" s="210" t="e">
        <f aca="false">1/(1+AL264/2)^(2*(C264-Val_Date)/365.25)</f>
        <v>#VALUE!</v>
      </c>
      <c r="AO264" s="222" t="e">
        <f aca="false">$B264*$E264*$AM264</f>
        <v>#VALUE!</v>
      </c>
      <c r="AP264" s="222"/>
      <c r="AQ264" s="222" t="e">
        <f aca="false">H264*AO264</f>
        <v>#VALUE!</v>
      </c>
      <c r="AR264" s="222"/>
      <c r="AS264" s="174" t="e">
        <f aca="false">J264*$AO264</f>
        <v>#VALUE!</v>
      </c>
      <c r="AT264" s="174" t="e">
        <f aca="false">K264*$AO264</f>
        <v>#VALUE!</v>
      </c>
      <c r="AU264" s="174" t="e">
        <f aca="false">L264*$AO264</f>
        <v>#VALUE!</v>
      </c>
      <c r="AV264" s="174"/>
      <c r="AW264" s="174"/>
      <c r="AY264" s="220"/>
      <c r="AZ264" s="220"/>
      <c r="BA264" s="223"/>
      <c r="BC264" s="220"/>
      <c r="BE264" s="206"/>
    </row>
    <row r="265" customFormat="false" ht="12.75" hidden="false" customHeight="false" outlineLevel="0" collapsed="false">
      <c r="A265" s="167" t="e">
        <f aca="false">([1]!edate,A264,1)</f>
        <v>#VALUE!</v>
      </c>
      <c r="B265" s="201" t="e">
        <f aca="false">A266-A265</f>
        <v>#VALUE!</v>
      </c>
      <c r="C265" s="202" t="e">
        <f aca="false">IF(Control!$F$18="Physical",Model!A266+24,Model!A266)</f>
        <v>#VALUE!</v>
      </c>
      <c r="E265" s="203" t="e">
        <f aca="false">IF($A265&lt;End_Date,IF(Control!$C$20="Flat",Control!$C$21,VLOOKUP(Model!$A265,Euro!$B$29:$D$182,3)),0)</f>
        <v>#VALUE!</v>
      </c>
      <c r="F265" s="203" t="e">
        <f aca="false">E265*B265</f>
        <v>#VALUE!</v>
      </c>
      <c r="H265" s="204" t="e">
        <f aca="false">IF(Control!$C$27="Mid",VLOOKUP($A265,CurveFetch!$D$8:$F$367,3),VLOOKUP($A265,Euro!$B$29:$I$182,8))</f>
        <v>#VALUE!</v>
      </c>
      <c r="I265" s="204"/>
      <c r="J265" s="204" t="e">
        <f aca="false">IF($J$4="Mid",VLOOKUP($A265,Curve_Fetch,VLOOKUP(Control!$AJ$10,Control!$AI$11:$AK$22,3)),VLOOKUP($A265,Euro!$B$29:$M$182,12))</f>
        <v>#VALUE!</v>
      </c>
      <c r="K265" s="205" t="e">
        <f aca="false">IF(Control!$F$18="Physical",IF($K$4="Mid",VLOOKUP($A265,Curve_Fetch,VLOOKUP(Control!$AJ$10,Control!$AI$11:$AL$22,4)),VLOOKUP($A265,Euro!$B$29:$Q$182,16)),0)</f>
        <v>#VALUE!</v>
      </c>
      <c r="L265" s="204" t="e">
        <f aca="false">SUM(J265:K265)</f>
        <v>#VALUE!</v>
      </c>
      <c r="M265" s="204"/>
      <c r="N265" s="206" t="e">
        <f aca="false">L265+H265</f>
        <v>#VALUE!</v>
      </c>
      <c r="O265" s="206" t="e">
        <f aca="false">N265+Control!$C$39</f>
        <v>#VALUE!</v>
      </c>
      <c r="P265" s="207" t="e">
        <f aca="false">VLOOKUP($A265,CurveFetch!$D$8:$E$367,2)</f>
        <v>#VALUE!</v>
      </c>
      <c r="Q265" s="208" t="e">
        <f aca="false">P265</f>
        <v>#VALUE!</v>
      </c>
      <c r="R265" s="209" t="e">
        <f aca="true">A265-1-TODAY()</f>
        <v>#VALUE!</v>
      </c>
      <c r="S265" s="210" t="e">
        <f aca="false">VLOOKUP($A265,Curve_Fetch,VLOOKUP(Control!$AJ$10,Control!$AI$11:$AM$22,5))</f>
        <v>#VALUE!</v>
      </c>
      <c r="T265" s="211" t="e">
        <f aca="false">EURO(N265,O265,P265,Q265,S265,R265,IF(Control!$C$38="Call",1,0),0)</f>
        <v>#NAME?</v>
      </c>
      <c r="U265" s="174" t="e">
        <f aca="false">T265*B265*E265</f>
        <v>#VALUE!</v>
      </c>
      <c r="V265" s="224"/>
      <c r="W265" s="213"/>
      <c r="X265" s="213"/>
      <c r="Y265" s="213"/>
      <c r="AA265" s="214"/>
      <c r="AB265" s="214"/>
      <c r="AC265" s="215"/>
      <c r="AD265" s="216"/>
      <c r="AE265" s="217"/>
      <c r="AF265" s="218"/>
      <c r="AG265" s="219"/>
      <c r="AH265" s="220"/>
      <c r="AI265" s="174"/>
      <c r="AJ265" s="171" t="e">
        <f aca="false">Y265-L265</f>
        <v>#VALUE!</v>
      </c>
      <c r="AL265" s="208" t="e">
        <f aca="false">VLOOKUP($C265,Curve_Fetch,2)+Cost_of_Funds</f>
        <v>#VALUE!</v>
      </c>
      <c r="AM265" s="210" t="e">
        <f aca="false">1/(1+AL265/2)^(2*(C265-Val_Date)/365.25)</f>
        <v>#VALUE!</v>
      </c>
      <c r="AO265" s="222" t="e">
        <f aca="false">$B265*$E265*$AM265</f>
        <v>#VALUE!</v>
      </c>
      <c r="AP265" s="222"/>
      <c r="AQ265" s="222" t="e">
        <f aca="false">H265*AO265</f>
        <v>#VALUE!</v>
      </c>
      <c r="AR265" s="222"/>
      <c r="AS265" s="174" t="e">
        <f aca="false">J265*$AO265</f>
        <v>#VALUE!</v>
      </c>
      <c r="AT265" s="174" t="e">
        <f aca="false">K265*$AO265</f>
        <v>#VALUE!</v>
      </c>
      <c r="AU265" s="174" t="e">
        <f aca="false">L265*$AO265</f>
        <v>#VALUE!</v>
      </c>
      <c r="AV265" s="174"/>
      <c r="AW265" s="174"/>
      <c r="AY265" s="220"/>
      <c r="AZ265" s="220"/>
      <c r="BA265" s="223"/>
      <c r="BC265" s="220"/>
      <c r="BE265" s="206"/>
    </row>
    <row r="266" customFormat="false" ht="12.75" hidden="false" customHeight="false" outlineLevel="0" collapsed="false">
      <c r="A266" s="167" t="e">
        <f aca="false">([1]!edate,A265,1)</f>
        <v>#VALUE!</v>
      </c>
      <c r="B266" s="201" t="e">
        <f aca="false">A267-A266</f>
        <v>#VALUE!</v>
      </c>
      <c r="C266" s="202" t="e">
        <f aca="false">IF(Control!$F$18="Physical",Model!A267+24,Model!A267)</f>
        <v>#VALUE!</v>
      </c>
      <c r="E266" s="203" t="e">
        <f aca="false">IF($A266&lt;End_Date,IF(Control!$C$20="Flat",Control!$C$21,VLOOKUP(Model!$A266,Euro!$B$29:$D$182,3)),0)</f>
        <v>#VALUE!</v>
      </c>
      <c r="F266" s="203" t="e">
        <f aca="false">E266*B266</f>
        <v>#VALUE!</v>
      </c>
      <c r="H266" s="204" t="e">
        <f aca="false">IF(Control!$C$27="Mid",VLOOKUP($A266,CurveFetch!$D$8:$F$367,3),VLOOKUP($A266,Euro!$B$29:$I$182,8))</f>
        <v>#VALUE!</v>
      </c>
      <c r="I266" s="204"/>
      <c r="J266" s="204" t="e">
        <f aca="false">IF($J$4="Mid",VLOOKUP($A266,Curve_Fetch,VLOOKUP(Control!$AJ$10,Control!$AI$11:$AK$22,3)),VLOOKUP($A266,Euro!$B$29:$M$182,12))</f>
        <v>#VALUE!</v>
      </c>
      <c r="K266" s="205" t="e">
        <f aca="false">IF(Control!$F$18="Physical",IF($K$4="Mid",VLOOKUP($A266,Curve_Fetch,VLOOKUP(Control!$AJ$10,Control!$AI$11:$AL$22,4)),VLOOKUP($A266,Euro!$B$29:$Q$182,16)),0)</f>
        <v>#VALUE!</v>
      </c>
      <c r="L266" s="204" t="e">
        <f aca="false">SUM(J266:K266)</f>
        <v>#VALUE!</v>
      </c>
      <c r="M266" s="204"/>
      <c r="N266" s="206" t="e">
        <f aca="false">L266+H266</f>
        <v>#VALUE!</v>
      </c>
      <c r="O266" s="206" t="e">
        <f aca="false">N266+Control!$C$39</f>
        <v>#VALUE!</v>
      </c>
      <c r="P266" s="207" t="e">
        <f aca="false">VLOOKUP($A266,CurveFetch!$D$8:$E$367,2)</f>
        <v>#VALUE!</v>
      </c>
      <c r="Q266" s="208" t="e">
        <f aca="false">P266</f>
        <v>#VALUE!</v>
      </c>
      <c r="R266" s="209" t="e">
        <f aca="true">A266-1-TODAY()</f>
        <v>#VALUE!</v>
      </c>
      <c r="S266" s="210" t="e">
        <f aca="false">VLOOKUP($A266,Curve_Fetch,VLOOKUP(Control!$AJ$10,Control!$AI$11:$AM$22,5))</f>
        <v>#VALUE!</v>
      </c>
      <c r="T266" s="211" t="e">
        <f aca="false">EURO(N266,O266,P266,Q266,S266,R266,IF(Control!$C$38="Call",1,0),0)</f>
        <v>#NAME?</v>
      </c>
      <c r="U266" s="174" t="e">
        <f aca="false">T266*B266*E266</f>
        <v>#VALUE!</v>
      </c>
      <c r="V266" s="224"/>
      <c r="W266" s="213"/>
      <c r="X266" s="213"/>
      <c r="Y266" s="213"/>
      <c r="AA266" s="214"/>
      <c r="AB266" s="214"/>
      <c r="AC266" s="215"/>
      <c r="AD266" s="216"/>
      <c r="AE266" s="217"/>
      <c r="AF266" s="218"/>
      <c r="AG266" s="219"/>
      <c r="AH266" s="220"/>
      <c r="AI266" s="174"/>
      <c r="AJ266" s="171" t="e">
        <f aca="false">Y266-L266</f>
        <v>#VALUE!</v>
      </c>
      <c r="AL266" s="208" t="e">
        <f aca="false">VLOOKUP($C266,Curve_Fetch,2)+Cost_of_Funds</f>
        <v>#VALUE!</v>
      </c>
      <c r="AM266" s="210" t="e">
        <f aca="false">1/(1+AL266/2)^(2*(C266-Val_Date)/365.25)</f>
        <v>#VALUE!</v>
      </c>
      <c r="AO266" s="222" t="e">
        <f aca="false">$B266*$E266*$AM266</f>
        <v>#VALUE!</v>
      </c>
      <c r="AP266" s="222"/>
      <c r="AQ266" s="222" t="e">
        <f aca="false">H266*AO266</f>
        <v>#VALUE!</v>
      </c>
      <c r="AR266" s="222"/>
      <c r="AS266" s="174" t="e">
        <f aca="false">J266*$AO266</f>
        <v>#VALUE!</v>
      </c>
      <c r="AT266" s="174" t="e">
        <f aca="false">K266*$AO266</f>
        <v>#VALUE!</v>
      </c>
      <c r="AU266" s="174" t="e">
        <f aca="false">L266*$AO266</f>
        <v>#VALUE!</v>
      </c>
      <c r="AV266" s="174"/>
      <c r="AW266" s="174"/>
      <c r="AY266" s="220"/>
      <c r="AZ266" s="220"/>
      <c r="BA266" s="223"/>
      <c r="BC266" s="220"/>
      <c r="BE266" s="206"/>
    </row>
    <row r="267" customFormat="false" ht="12.75" hidden="false" customHeight="false" outlineLevel="0" collapsed="false">
      <c r="A267" s="167" t="e">
        <f aca="false">([1]!edate,A266,1)</f>
        <v>#VALUE!</v>
      </c>
      <c r="B267" s="201" t="e">
        <f aca="false">A268-A267</f>
        <v>#VALUE!</v>
      </c>
      <c r="C267" s="202" t="e">
        <f aca="false">IF(Control!$F$18="Physical",Model!A268+24,Model!A268)</f>
        <v>#VALUE!</v>
      </c>
      <c r="E267" s="203" t="e">
        <f aca="false">IF($A267&lt;End_Date,IF(Control!$C$20="Flat",Control!$C$21,VLOOKUP(Model!$A267,Euro!$B$29:$D$182,3)),0)</f>
        <v>#VALUE!</v>
      </c>
      <c r="F267" s="203" t="e">
        <f aca="false">E267*B267</f>
        <v>#VALUE!</v>
      </c>
      <c r="H267" s="204" t="e">
        <f aca="false">IF(Control!$C$27="Mid",VLOOKUP($A267,CurveFetch!$D$8:$F$367,3),VLOOKUP($A267,Euro!$B$29:$I$182,8))</f>
        <v>#VALUE!</v>
      </c>
      <c r="I267" s="204"/>
      <c r="J267" s="204" t="e">
        <f aca="false">IF($J$4="Mid",VLOOKUP($A267,Curve_Fetch,VLOOKUP(Control!$AJ$10,Control!$AI$11:$AK$22,3)),VLOOKUP($A267,Euro!$B$29:$M$182,12))</f>
        <v>#VALUE!</v>
      </c>
      <c r="K267" s="205" t="e">
        <f aca="false">IF(Control!$F$18="Physical",IF($K$4="Mid",VLOOKUP($A267,Curve_Fetch,VLOOKUP(Control!$AJ$10,Control!$AI$11:$AL$22,4)),VLOOKUP($A267,Euro!$B$29:$Q$182,16)),0)</f>
        <v>#VALUE!</v>
      </c>
      <c r="L267" s="204" t="e">
        <f aca="false">SUM(J267:K267)</f>
        <v>#VALUE!</v>
      </c>
      <c r="M267" s="204"/>
      <c r="N267" s="206" t="e">
        <f aca="false">L267+H267</f>
        <v>#VALUE!</v>
      </c>
      <c r="O267" s="206" t="e">
        <f aca="false">N267+Control!$C$39</f>
        <v>#VALUE!</v>
      </c>
      <c r="P267" s="207" t="e">
        <f aca="false">VLOOKUP($A267,CurveFetch!$D$8:$E$367,2)</f>
        <v>#VALUE!</v>
      </c>
      <c r="Q267" s="208" t="e">
        <f aca="false">P267</f>
        <v>#VALUE!</v>
      </c>
      <c r="R267" s="209" t="e">
        <f aca="true">A267-1-TODAY()</f>
        <v>#VALUE!</v>
      </c>
      <c r="S267" s="210" t="e">
        <f aca="false">VLOOKUP($A267,Curve_Fetch,VLOOKUP(Control!$AJ$10,Control!$AI$11:$AM$22,5))</f>
        <v>#VALUE!</v>
      </c>
      <c r="T267" s="211" t="e">
        <f aca="false">EURO(N267,O267,P267,Q267,S267,R267,IF(Control!$C$38="Call",1,0),0)</f>
        <v>#NAME?</v>
      </c>
      <c r="U267" s="174" t="e">
        <f aca="false">T267*B267*E267</f>
        <v>#VALUE!</v>
      </c>
      <c r="V267" s="224"/>
      <c r="W267" s="213"/>
      <c r="X267" s="213"/>
      <c r="Y267" s="213"/>
      <c r="AA267" s="214"/>
      <c r="AB267" s="214"/>
      <c r="AC267" s="215"/>
      <c r="AD267" s="216"/>
      <c r="AE267" s="217"/>
      <c r="AF267" s="218"/>
      <c r="AG267" s="219"/>
      <c r="AH267" s="220"/>
      <c r="AI267" s="174"/>
      <c r="AJ267" s="171" t="e">
        <f aca="false">Y267-L267</f>
        <v>#VALUE!</v>
      </c>
      <c r="AL267" s="208" t="e">
        <f aca="false">VLOOKUP($C267,Curve_Fetch,2)+Cost_of_Funds</f>
        <v>#VALUE!</v>
      </c>
      <c r="AM267" s="210" t="e">
        <f aca="false">1/(1+AL267/2)^(2*(C267-Val_Date)/365.25)</f>
        <v>#VALUE!</v>
      </c>
      <c r="AO267" s="222" t="e">
        <f aca="false">$B267*$E267*$AM267</f>
        <v>#VALUE!</v>
      </c>
      <c r="AP267" s="222"/>
      <c r="AQ267" s="222" t="e">
        <f aca="false">H267*AO267</f>
        <v>#VALUE!</v>
      </c>
      <c r="AR267" s="222"/>
      <c r="AS267" s="174" t="e">
        <f aca="false">J267*$AO267</f>
        <v>#VALUE!</v>
      </c>
      <c r="AT267" s="174" t="e">
        <f aca="false">K267*$AO267</f>
        <v>#VALUE!</v>
      </c>
      <c r="AU267" s="174" t="e">
        <f aca="false">L267*$AO267</f>
        <v>#VALUE!</v>
      </c>
      <c r="AV267" s="174"/>
      <c r="AW267" s="174"/>
      <c r="AY267" s="220"/>
      <c r="AZ267" s="220"/>
      <c r="BA267" s="223"/>
      <c r="BC267" s="220"/>
      <c r="BE267" s="206"/>
    </row>
    <row r="268" customFormat="false" ht="12.75" hidden="false" customHeight="false" outlineLevel="0" collapsed="false">
      <c r="A268" s="167" t="e">
        <f aca="false">([1]!edate,A267,1)</f>
        <v>#VALUE!</v>
      </c>
      <c r="B268" s="201" t="e">
        <f aca="false">A269-A268</f>
        <v>#VALUE!</v>
      </c>
      <c r="C268" s="202" t="e">
        <f aca="false">IF(Control!$F$18="Physical",Model!A269+24,Model!A269)</f>
        <v>#VALUE!</v>
      </c>
      <c r="E268" s="203" t="e">
        <f aca="false">IF($A268&lt;End_Date,IF(Control!$C$20="Flat",Control!$C$21,VLOOKUP(Model!$A268,Euro!$B$29:$D$182,3)),0)</f>
        <v>#VALUE!</v>
      </c>
      <c r="F268" s="203" t="e">
        <f aca="false">E268*B268</f>
        <v>#VALUE!</v>
      </c>
      <c r="H268" s="204" t="e">
        <f aca="false">IF(Control!$C$27="Mid",VLOOKUP($A268,CurveFetch!$D$8:$F$367,3),VLOOKUP($A268,Euro!$B$29:$I$182,8))</f>
        <v>#VALUE!</v>
      </c>
      <c r="I268" s="204"/>
      <c r="J268" s="204" t="e">
        <f aca="false">IF($J$4="Mid",VLOOKUP($A268,Curve_Fetch,VLOOKUP(Control!$AJ$10,Control!$AI$11:$AK$22,3)),VLOOKUP($A268,Euro!$B$29:$M$182,12))</f>
        <v>#VALUE!</v>
      </c>
      <c r="K268" s="205" t="e">
        <f aca="false">IF(Control!$F$18="Physical",IF($K$4="Mid",VLOOKUP($A268,Curve_Fetch,VLOOKUP(Control!$AJ$10,Control!$AI$11:$AL$22,4)),VLOOKUP($A268,Euro!$B$29:$Q$182,16)),0)</f>
        <v>#VALUE!</v>
      </c>
      <c r="L268" s="204" t="e">
        <f aca="false">SUM(J268:K268)</f>
        <v>#VALUE!</v>
      </c>
      <c r="M268" s="204"/>
      <c r="N268" s="206" t="e">
        <f aca="false">L268+H268</f>
        <v>#VALUE!</v>
      </c>
      <c r="O268" s="206" t="e">
        <f aca="false">N268+Control!$C$39</f>
        <v>#VALUE!</v>
      </c>
      <c r="P268" s="207" t="e">
        <f aca="false">VLOOKUP($A268,CurveFetch!$D$8:$E$367,2)</f>
        <v>#VALUE!</v>
      </c>
      <c r="Q268" s="208" t="e">
        <f aca="false">P268</f>
        <v>#VALUE!</v>
      </c>
      <c r="R268" s="209" t="e">
        <f aca="true">A268-1-TODAY()</f>
        <v>#VALUE!</v>
      </c>
      <c r="S268" s="210" t="e">
        <f aca="false">VLOOKUP($A268,Curve_Fetch,VLOOKUP(Control!$AJ$10,Control!$AI$11:$AM$22,5))</f>
        <v>#VALUE!</v>
      </c>
      <c r="T268" s="211" t="e">
        <f aca="false">EURO(N268,O268,P268,Q268,S268,R268,IF(Control!$C$38="Call",1,0),0)</f>
        <v>#NAME?</v>
      </c>
      <c r="U268" s="174" t="e">
        <f aca="false">T268*B268*E268</f>
        <v>#VALUE!</v>
      </c>
      <c r="V268" s="224"/>
      <c r="W268" s="213"/>
      <c r="X268" s="213"/>
      <c r="Y268" s="213"/>
      <c r="AA268" s="214"/>
      <c r="AB268" s="214"/>
      <c r="AC268" s="215"/>
      <c r="AD268" s="216"/>
      <c r="AE268" s="217"/>
      <c r="AF268" s="218"/>
      <c r="AG268" s="219"/>
      <c r="AH268" s="220"/>
      <c r="AI268" s="174"/>
      <c r="AJ268" s="171" t="e">
        <f aca="false">Y268-L268</f>
        <v>#VALUE!</v>
      </c>
      <c r="AL268" s="208" t="e">
        <f aca="false">VLOOKUP($C268,Curve_Fetch,2)+Cost_of_Funds</f>
        <v>#VALUE!</v>
      </c>
      <c r="AM268" s="210" t="e">
        <f aca="false">1/(1+AL268/2)^(2*(C268-Val_Date)/365.25)</f>
        <v>#VALUE!</v>
      </c>
      <c r="AO268" s="222" t="e">
        <f aca="false">$B268*$E268*$AM268</f>
        <v>#VALUE!</v>
      </c>
      <c r="AP268" s="222"/>
      <c r="AQ268" s="222" t="e">
        <f aca="false">H268*AO268</f>
        <v>#VALUE!</v>
      </c>
      <c r="AR268" s="222"/>
      <c r="AS268" s="174" t="e">
        <f aca="false">J268*$AO268</f>
        <v>#VALUE!</v>
      </c>
      <c r="AT268" s="174" t="e">
        <f aca="false">K268*$AO268</f>
        <v>#VALUE!</v>
      </c>
      <c r="AU268" s="174" t="e">
        <f aca="false">L268*$AO268</f>
        <v>#VALUE!</v>
      </c>
      <c r="AV268" s="174"/>
      <c r="AW268" s="174"/>
      <c r="AY268" s="220"/>
      <c r="AZ268" s="220"/>
      <c r="BA268" s="223"/>
      <c r="BC268" s="220"/>
      <c r="BE268" s="206"/>
    </row>
    <row r="269" customFormat="false" ht="12.75" hidden="false" customHeight="false" outlineLevel="0" collapsed="false">
      <c r="A269" s="167" t="e">
        <f aca="false">([1]!edate,A268,1)</f>
        <v>#VALUE!</v>
      </c>
      <c r="B269" s="201" t="e">
        <f aca="false">A270-A269</f>
        <v>#VALUE!</v>
      </c>
      <c r="C269" s="202" t="e">
        <f aca="false">IF(Control!$F$18="Physical",Model!A270+24,Model!A270)</f>
        <v>#VALUE!</v>
      </c>
      <c r="E269" s="203" t="e">
        <f aca="false">IF($A269&lt;End_Date,IF(Control!$C$20="Flat",Control!$C$21,VLOOKUP(Model!$A269,Euro!$B$29:$D$182,3)),0)</f>
        <v>#VALUE!</v>
      </c>
      <c r="F269" s="203" t="e">
        <f aca="false">E269*B269</f>
        <v>#VALUE!</v>
      </c>
      <c r="H269" s="204" t="e">
        <f aca="false">IF(Control!$C$27="Mid",VLOOKUP($A269,CurveFetch!$D$8:$F$367,3),VLOOKUP($A269,Euro!$B$29:$I$182,8))</f>
        <v>#VALUE!</v>
      </c>
      <c r="I269" s="204"/>
      <c r="J269" s="204" t="e">
        <f aca="false">IF($J$4="Mid",VLOOKUP($A269,Curve_Fetch,VLOOKUP(Control!$AJ$10,Control!$AI$11:$AK$22,3)),VLOOKUP($A269,Euro!$B$29:$M$182,12))</f>
        <v>#VALUE!</v>
      </c>
      <c r="K269" s="205" t="e">
        <f aca="false">IF(Control!$F$18="Physical",IF($K$4="Mid",VLOOKUP($A269,Curve_Fetch,VLOOKUP(Control!$AJ$10,Control!$AI$11:$AL$22,4)),VLOOKUP($A269,Euro!$B$29:$Q$182,16)),0)</f>
        <v>#VALUE!</v>
      </c>
      <c r="L269" s="204" t="e">
        <f aca="false">SUM(J269:K269)</f>
        <v>#VALUE!</v>
      </c>
      <c r="M269" s="204"/>
      <c r="N269" s="206" t="e">
        <f aca="false">L269+H269</f>
        <v>#VALUE!</v>
      </c>
      <c r="O269" s="206" t="e">
        <f aca="false">N269+Control!$C$39</f>
        <v>#VALUE!</v>
      </c>
      <c r="P269" s="207" t="e">
        <f aca="false">VLOOKUP($A269,CurveFetch!$D$8:$E$367,2)</f>
        <v>#VALUE!</v>
      </c>
      <c r="Q269" s="208" t="e">
        <f aca="false">P269</f>
        <v>#VALUE!</v>
      </c>
      <c r="R269" s="209" t="e">
        <f aca="true">A269-1-TODAY()</f>
        <v>#VALUE!</v>
      </c>
      <c r="S269" s="210" t="e">
        <f aca="false">VLOOKUP($A269,Curve_Fetch,VLOOKUP(Control!$AJ$10,Control!$AI$11:$AM$22,5))</f>
        <v>#VALUE!</v>
      </c>
      <c r="T269" s="211" t="e">
        <f aca="false">EURO(N269,O269,P269,Q269,S269,R269,IF(Control!$C$38="Call",1,0),0)</f>
        <v>#NAME?</v>
      </c>
      <c r="U269" s="174" t="e">
        <f aca="false">T269*B269*E269</f>
        <v>#VALUE!</v>
      </c>
      <c r="V269" s="224"/>
      <c r="W269" s="213"/>
      <c r="X269" s="213"/>
      <c r="Y269" s="213"/>
      <c r="AA269" s="214"/>
      <c r="AB269" s="214"/>
      <c r="AC269" s="215"/>
      <c r="AD269" s="216"/>
      <c r="AE269" s="217"/>
      <c r="AF269" s="218"/>
      <c r="AG269" s="219"/>
      <c r="AH269" s="220"/>
      <c r="AI269" s="174"/>
      <c r="AJ269" s="171" t="e">
        <f aca="false">Y269-L269</f>
        <v>#VALUE!</v>
      </c>
      <c r="AL269" s="208" t="e">
        <f aca="false">VLOOKUP($C269,Curve_Fetch,2)+Cost_of_Funds</f>
        <v>#VALUE!</v>
      </c>
      <c r="AM269" s="210" t="e">
        <f aca="false">1/(1+AL269/2)^(2*(C269-Val_Date)/365.25)</f>
        <v>#VALUE!</v>
      </c>
      <c r="AO269" s="222" t="e">
        <f aca="false">$B269*$E269*$AM269</f>
        <v>#VALUE!</v>
      </c>
      <c r="AP269" s="222"/>
      <c r="AQ269" s="222" t="e">
        <f aca="false">H269*AO269</f>
        <v>#VALUE!</v>
      </c>
      <c r="AR269" s="222"/>
      <c r="AS269" s="174" t="e">
        <f aca="false">J269*$AO269</f>
        <v>#VALUE!</v>
      </c>
      <c r="AT269" s="174" t="e">
        <f aca="false">K269*$AO269</f>
        <v>#VALUE!</v>
      </c>
      <c r="AU269" s="174" t="e">
        <f aca="false">L269*$AO269</f>
        <v>#VALUE!</v>
      </c>
      <c r="AV269" s="174"/>
      <c r="AW269" s="174"/>
      <c r="AY269" s="220"/>
      <c r="AZ269" s="220"/>
      <c r="BA269" s="223"/>
      <c r="BC269" s="220"/>
      <c r="BE269" s="206"/>
    </row>
    <row r="270" customFormat="false" ht="12.75" hidden="false" customHeight="false" outlineLevel="0" collapsed="false">
      <c r="A270" s="167" t="e">
        <f aca="false">([1]!edate,A269,1)</f>
        <v>#VALUE!</v>
      </c>
      <c r="B270" s="201" t="e">
        <f aca="false">A271-A270</f>
        <v>#VALUE!</v>
      </c>
      <c r="C270" s="202" t="e">
        <f aca="false">IF(Control!$F$18="Physical",Model!A271+24,Model!A271)</f>
        <v>#VALUE!</v>
      </c>
      <c r="E270" s="203" t="e">
        <f aca="false">IF($A270&lt;End_Date,IF(Control!$C$20="Flat",Control!$C$21,VLOOKUP(Model!$A270,Euro!$B$29:$D$182,3)),0)</f>
        <v>#VALUE!</v>
      </c>
      <c r="F270" s="203" t="e">
        <f aca="false">E270*B270</f>
        <v>#VALUE!</v>
      </c>
      <c r="H270" s="204" t="e">
        <f aca="false">IF(Control!$C$27="Mid",VLOOKUP($A270,CurveFetch!$D$8:$F$367,3),VLOOKUP($A270,Euro!$B$29:$I$182,8))</f>
        <v>#VALUE!</v>
      </c>
      <c r="I270" s="204"/>
      <c r="J270" s="204" t="e">
        <f aca="false">IF($J$4="Mid",VLOOKUP($A270,Curve_Fetch,VLOOKUP(Control!$AJ$10,Control!$AI$11:$AK$22,3)),VLOOKUP($A270,Euro!$B$29:$M$182,12))</f>
        <v>#VALUE!</v>
      </c>
      <c r="K270" s="205" t="e">
        <f aca="false">IF(Control!$F$18="Physical",IF($K$4="Mid",VLOOKUP($A270,Curve_Fetch,VLOOKUP(Control!$AJ$10,Control!$AI$11:$AL$22,4)),VLOOKUP($A270,Euro!$B$29:$Q$182,16)),0)</f>
        <v>#VALUE!</v>
      </c>
      <c r="L270" s="204" t="e">
        <f aca="false">SUM(J270:K270)</f>
        <v>#VALUE!</v>
      </c>
      <c r="M270" s="204"/>
      <c r="N270" s="206" t="e">
        <f aca="false">L270+H270</f>
        <v>#VALUE!</v>
      </c>
      <c r="O270" s="206" t="e">
        <f aca="false">N270+Control!$C$39</f>
        <v>#VALUE!</v>
      </c>
      <c r="P270" s="207" t="e">
        <f aca="false">VLOOKUP($A270,CurveFetch!$D$8:$E$367,2)</f>
        <v>#VALUE!</v>
      </c>
      <c r="Q270" s="208" t="e">
        <f aca="false">P270</f>
        <v>#VALUE!</v>
      </c>
      <c r="R270" s="209" t="e">
        <f aca="true">A270-1-TODAY()</f>
        <v>#VALUE!</v>
      </c>
      <c r="S270" s="210" t="e">
        <f aca="false">VLOOKUP($A270,Curve_Fetch,VLOOKUP(Control!$AJ$10,Control!$AI$11:$AM$22,5))</f>
        <v>#VALUE!</v>
      </c>
      <c r="T270" s="211" t="e">
        <f aca="false">EURO(N270,O270,P270,Q270,S270,R270,IF(Control!$C$38="Call",1,0),0)</f>
        <v>#NAME?</v>
      </c>
      <c r="U270" s="174" t="e">
        <f aca="false">T270*B270*E270</f>
        <v>#VALUE!</v>
      </c>
      <c r="V270" s="224"/>
      <c r="W270" s="213"/>
      <c r="X270" s="213"/>
      <c r="Y270" s="213"/>
      <c r="AA270" s="214"/>
      <c r="AB270" s="214"/>
      <c r="AC270" s="215"/>
      <c r="AD270" s="216"/>
      <c r="AE270" s="217"/>
      <c r="AF270" s="218"/>
      <c r="AG270" s="219"/>
      <c r="AH270" s="220"/>
      <c r="AI270" s="174"/>
      <c r="AJ270" s="171" t="e">
        <f aca="false">Y270-L270</f>
        <v>#VALUE!</v>
      </c>
      <c r="AL270" s="208" t="e">
        <f aca="false">VLOOKUP($C270,Curve_Fetch,2)+Cost_of_Funds</f>
        <v>#VALUE!</v>
      </c>
      <c r="AM270" s="210" t="e">
        <f aca="false">1/(1+AL270/2)^(2*(C270-Val_Date)/365.25)</f>
        <v>#VALUE!</v>
      </c>
      <c r="AO270" s="222" t="e">
        <f aca="false">$B270*$E270*$AM270</f>
        <v>#VALUE!</v>
      </c>
      <c r="AP270" s="222"/>
      <c r="AQ270" s="222" t="e">
        <f aca="false">H270*AO270</f>
        <v>#VALUE!</v>
      </c>
      <c r="AR270" s="222"/>
      <c r="AS270" s="174" t="e">
        <f aca="false">J270*$AO270</f>
        <v>#VALUE!</v>
      </c>
      <c r="AT270" s="174" t="e">
        <f aca="false">K270*$AO270</f>
        <v>#VALUE!</v>
      </c>
      <c r="AU270" s="174" t="e">
        <f aca="false">L270*$AO270</f>
        <v>#VALUE!</v>
      </c>
      <c r="AV270" s="174"/>
      <c r="AW270" s="174"/>
      <c r="AY270" s="220"/>
      <c r="AZ270" s="220"/>
      <c r="BA270" s="223"/>
      <c r="BC270" s="220"/>
      <c r="BE270" s="206"/>
    </row>
    <row r="271" customFormat="false" ht="12.75" hidden="false" customHeight="false" outlineLevel="0" collapsed="false">
      <c r="A271" s="167" t="e">
        <f aca="false">([1]!edate,A270,1)</f>
        <v>#VALUE!</v>
      </c>
      <c r="B271" s="201" t="e">
        <f aca="false">A272-A271</f>
        <v>#VALUE!</v>
      </c>
      <c r="C271" s="202" t="e">
        <f aca="false">IF(Control!$F$18="Physical",Model!A272+24,Model!A272)</f>
        <v>#VALUE!</v>
      </c>
      <c r="E271" s="203" t="e">
        <f aca="false">IF($A271&lt;End_Date,IF(Control!$C$20="Flat",Control!$C$21,VLOOKUP(Model!$A271,Euro!$B$29:$D$182,3)),0)</f>
        <v>#VALUE!</v>
      </c>
      <c r="F271" s="203" t="e">
        <f aca="false">E271*B271</f>
        <v>#VALUE!</v>
      </c>
      <c r="H271" s="204" t="e">
        <f aca="false">IF(Control!$C$27="Mid",VLOOKUP($A271,CurveFetch!$D$8:$F$367,3),VLOOKUP($A271,Euro!$B$29:$I$182,8))</f>
        <v>#VALUE!</v>
      </c>
      <c r="I271" s="204"/>
      <c r="J271" s="204" t="e">
        <f aca="false">IF($J$4="Mid",VLOOKUP($A271,Curve_Fetch,VLOOKUP(Control!$AJ$10,Control!$AI$11:$AK$22,3)),VLOOKUP($A271,Euro!$B$29:$M$182,12))</f>
        <v>#VALUE!</v>
      </c>
      <c r="K271" s="205" t="e">
        <f aca="false">IF(Control!$F$18="Physical",IF($K$4="Mid",VLOOKUP($A271,Curve_Fetch,VLOOKUP(Control!$AJ$10,Control!$AI$11:$AL$22,4)),VLOOKUP($A271,Euro!$B$29:$Q$182,16)),0)</f>
        <v>#VALUE!</v>
      </c>
      <c r="L271" s="204" t="e">
        <f aca="false">SUM(J271:K271)</f>
        <v>#VALUE!</v>
      </c>
      <c r="M271" s="204"/>
      <c r="N271" s="206" t="e">
        <f aca="false">L271+H271</f>
        <v>#VALUE!</v>
      </c>
      <c r="O271" s="206" t="e">
        <f aca="false">N271+Control!$C$39</f>
        <v>#VALUE!</v>
      </c>
      <c r="P271" s="207" t="e">
        <f aca="false">VLOOKUP($A271,CurveFetch!$D$8:$E$367,2)</f>
        <v>#VALUE!</v>
      </c>
      <c r="Q271" s="208" t="e">
        <f aca="false">P271</f>
        <v>#VALUE!</v>
      </c>
      <c r="R271" s="209" t="e">
        <f aca="true">A271-1-TODAY()</f>
        <v>#VALUE!</v>
      </c>
      <c r="S271" s="210" t="e">
        <f aca="false">VLOOKUP($A271,Curve_Fetch,VLOOKUP(Control!$AJ$10,Control!$AI$11:$AM$22,5))</f>
        <v>#VALUE!</v>
      </c>
      <c r="T271" s="211" t="e">
        <f aca="false">EURO(N271,O271,P271,Q271,S271,R271,IF(Control!$C$38="Call",1,0),0)</f>
        <v>#NAME?</v>
      </c>
      <c r="U271" s="174" t="e">
        <f aca="false">T271*B271*E271</f>
        <v>#VALUE!</v>
      </c>
      <c r="V271" s="224"/>
      <c r="W271" s="213"/>
      <c r="X271" s="213"/>
      <c r="Y271" s="213"/>
      <c r="AA271" s="214"/>
      <c r="AB271" s="214"/>
      <c r="AC271" s="215"/>
      <c r="AD271" s="216"/>
      <c r="AE271" s="217"/>
      <c r="AF271" s="218"/>
      <c r="AG271" s="219"/>
      <c r="AH271" s="220"/>
      <c r="AI271" s="174"/>
      <c r="AJ271" s="171" t="e">
        <f aca="false">Y271-L271</f>
        <v>#VALUE!</v>
      </c>
      <c r="AL271" s="208" t="e">
        <f aca="false">VLOOKUP($C271,Curve_Fetch,2)+Cost_of_Funds</f>
        <v>#VALUE!</v>
      </c>
      <c r="AM271" s="210" t="e">
        <f aca="false">1/(1+AL271/2)^(2*(C271-Val_Date)/365.25)</f>
        <v>#VALUE!</v>
      </c>
      <c r="AO271" s="222" t="e">
        <f aca="false">$B271*$E271*$AM271</f>
        <v>#VALUE!</v>
      </c>
      <c r="AP271" s="222"/>
      <c r="AQ271" s="222" t="e">
        <f aca="false">H271*AO271</f>
        <v>#VALUE!</v>
      </c>
      <c r="AR271" s="222"/>
      <c r="AS271" s="174" t="e">
        <f aca="false">J271*$AO271</f>
        <v>#VALUE!</v>
      </c>
      <c r="AT271" s="174" t="e">
        <f aca="false">K271*$AO271</f>
        <v>#VALUE!</v>
      </c>
      <c r="AU271" s="174" t="e">
        <f aca="false">L271*$AO271</f>
        <v>#VALUE!</v>
      </c>
      <c r="AV271" s="174"/>
      <c r="AW271" s="174"/>
      <c r="AY271" s="220"/>
      <c r="AZ271" s="220"/>
      <c r="BA271" s="223"/>
      <c r="BC271" s="220"/>
      <c r="BE271" s="206"/>
    </row>
    <row r="272" customFormat="false" ht="12.75" hidden="false" customHeight="false" outlineLevel="0" collapsed="false">
      <c r="A272" s="167" t="e">
        <f aca="false">([1]!edate,A271,1)</f>
        <v>#VALUE!</v>
      </c>
      <c r="B272" s="201" t="e">
        <f aca="false">A273-A272</f>
        <v>#VALUE!</v>
      </c>
      <c r="C272" s="202" t="e">
        <f aca="false">IF(Control!$F$18="Physical",Model!A273+24,Model!A273)</f>
        <v>#VALUE!</v>
      </c>
      <c r="E272" s="203" t="e">
        <f aca="false">IF($A272&lt;End_Date,IF(Control!$C$20="Flat",Control!$C$21,VLOOKUP(Model!$A272,Euro!$B$29:$D$182,3)),0)</f>
        <v>#VALUE!</v>
      </c>
      <c r="F272" s="203" t="e">
        <f aca="false">E272*B272</f>
        <v>#VALUE!</v>
      </c>
      <c r="H272" s="204" t="e">
        <f aca="false">IF(Control!$C$27="Mid",VLOOKUP($A272,CurveFetch!$D$8:$F$367,3),VLOOKUP($A272,Euro!$B$29:$I$182,8))</f>
        <v>#VALUE!</v>
      </c>
      <c r="I272" s="204"/>
      <c r="J272" s="204" t="e">
        <f aca="false">IF($J$4="Mid",VLOOKUP($A272,Curve_Fetch,VLOOKUP(Control!$AJ$10,Control!$AI$11:$AK$22,3)),VLOOKUP($A272,Euro!$B$29:$M$182,12))</f>
        <v>#VALUE!</v>
      </c>
      <c r="K272" s="205" t="e">
        <f aca="false">IF(Control!$F$18="Physical",IF($K$4="Mid",VLOOKUP($A272,Curve_Fetch,VLOOKUP(Control!$AJ$10,Control!$AI$11:$AL$22,4)),VLOOKUP($A272,Euro!$B$29:$Q$182,16)),0)</f>
        <v>#VALUE!</v>
      </c>
      <c r="L272" s="204" t="e">
        <f aca="false">SUM(J272:K272)</f>
        <v>#VALUE!</v>
      </c>
      <c r="M272" s="204"/>
      <c r="N272" s="206" t="e">
        <f aca="false">L272+H272</f>
        <v>#VALUE!</v>
      </c>
      <c r="O272" s="206" t="e">
        <f aca="false">N272+Control!$C$39</f>
        <v>#VALUE!</v>
      </c>
      <c r="P272" s="207" t="e">
        <f aca="false">VLOOKUP($A272,CurveFetch!$D$8:$E$367,2)</f>
        <v>#VALUE!</v>
      </c>
      <c r="Q272" s="208" t="e">
        <f aca="false">P272</f>
        <v>#VALUE!</v>
      </c>
      <c r="R272" s="209" t="e">
        <f aca="true">A272-1-TODAY()</f>
        <v>#VALUE!</v>
      </c>
      <c r="S272" s="210" t="e">
        <f aca="false">VLOOKUP($A272,Curve_Fetch,VLOOKUP(Control!$AJ$10,Control!$AI$11:$AM$22,5))</f>
        <v>#VALUE!</v>
      </c>
      <c r="T272" s="211" t="e">
        <f aca="false">EURO(N272,O272,P272,Q272,S272,R272,IF(Control!$C$38="Call",1,0),0)</f>
        <v>#NAME?</v>
      </c>
      <c r="U272" s="174" t="e">
        <f aca="false">T272*B272*E272</f>
        <v>#VALUE!</v>
      </c>
      <c r="V272" s="224"/>
      <c r="W272" s="213"/>
      <c r="X272" s="213"/>
      <c r="Y272" s="213"/>
      <c r="AA272" s="214"/>
      <c r="AB272" s="214"/>
      <c r="AC272" s="215"/>
      <c r="AD272" s="216"/>
      <c r="AE272" s="217"/>
      <c r="AF272" s="218"/>
      <c r="AG272" s="219"/>
      <c r="AH272" s="220"/>
      <c r="AI272" s="174"/>
      <c r="AJ272" s="171" t="e">
        <f aca="false">Y272-L272</f>
        <v>#VALUE!</v>
      </c>
      <c r="AL272" s="208" t="e">
        <f aca="false">VLOOKUP($C272,Curve_Fetch,2)+Cost_of_Funds</f>
        <v>#VALUE!</v>
      </c>
      <c r="AM272" s="210" t="e">
        <f aca="false">1/(1+AL272/2)^(2*(C272-Val_Date)/365.25)</f>
        <v>#VALUE!</v>
      </c>
      <c r="AO272" s="222" t="e">
        <f aca="false">$B272*$E272*$AM272</f>
        <v>#VALUE!</v>
      </c>
      <c r="AP272" s="222"/>
      <c r="AQ272" s="222" t="e">
        <f aca="false">H272*AO272</f>
        <v>#VALUE!</v>
      </c>
      <c r="AR272" s="222"/>
      <c r="AS272" s="174" t="e">
        <f aca="false">J272*$AO272</f>
        <v>#VALUE!</v>
      </c>
      <c r="AT272" s="174" t="e">
        <f aca="false">K272*$AO272</f>
        <v>#VALUE!</v>
      </c>
      <c r="AU272" s="174" t="e">
        <f aca="false">L272*$AO272</f>
        <v>#VALUE!</v>
      </c>
      <c r="AV272" s="174"/>
      <c r="AW272" s="174"/>
      <c r="AY272" s="220"/>
      <c r="AZ272" s="220"/>
      <c r="BA272" s="223"/>
      <c r="BC272" s="220"/>
      <c r="BE272" s="206"/>
    </row>
    <row r="273" customFormat="false" ht="12.75" hidden="false" customHeight="false" outlineLevel="0" collapsed="false">
      <c r="A273" s="167" t="e">
        <f aca="false">([1]!edate,A272,1)</f>
        <v>#VALUE!</v>
      </c>
      <c r="B273" s="201" t="e">
        <f aca="false">A274-A273</f>
        <v>#VALUE!</v>
      </c>
      <c r="C273" s="202" t="e">
        <f aca="false">IF(Control!$F$18="Physical",Model!A274+24,Model!A274)</f>
        <v>#VALUE!</v>
      </c>
      <c r="E273" s="203" t="e">
        <f aca="false">IF($A273&lt;End_Date,IF(Control!$C$20="Flat",Control!$C$21,VLOOKUP(Model!$A273,Euro!$B$29:$D$182,3)),0)</f>
        <v>#VALUE!</v>
      </c>
      <c r="F273" s="203" t="e">
        <f aca="false">E273*B273</f>
        <v>#VALUE!</v>
      </c>
      <c r="H273" s="204" t="e">
        <f aca="false">IF(Control!$C$27="Mid",VLOOKUP($A273,CurveFetch!$D$8:$F$367,3),VLOOKUP($A273,Euro!$B$29:$I$182,8))</f>
        <v>#VALUE!</v>
      </c>
      <c r="I273" s="204"/>
      <c r="J273" s="204" t="e">
        <f aca="false">IF($J$4="Mid",VLOOKUP($A273,Curve_Fetch,VLOOKUP(Control!$AJ$10,Control!$AI$11:$AK$22,3)),VLOOKUP($A273,Euro!$B$29:$M$182,12))</f>
        <v>#VALUE!</v>
      </c>
      <c r="K273" s="205" t="e">
        <f aca="false">IF(Control!$F$18="Physical",IF($K$4="Mid",VLOOKUP($A273,Curve_Fetch,VLOOKUP(Control!$AJ$10,Control!$AI$11:$AL$22,4)),VLOOKUP($A273,Euro!$B$29:$Q$182,16)),0)</f>
        <v>#VALUE!</v>
      </c>
      <c r="L273" s="204" t="e">
        <f aca="false">SUM(J273:K273)</f>
        <v>#VALUE!</v>
      </c>
      <c r="M273" s="204"/>
      <c r="N273" s="206" t="e">
        <f aca="false">L273+H273</f>
        <v>#VALUE!</v>
      </c>
      <c r="O273" s="206" t="e">
        <f aca="false">N273+Control!$C$39</f>
        <v>#VALUE!</v>
      </c>
      <c r="P273" s="207" t="e">
        <f aca="false">VLOOKUP($A273,CurveFetch!$D$8:$E$367,2)</f>
        <v>#VALUE!</v>
      </c>
      <c r="Q273" s="208" t="e">
        <f aca="false">P273</f>
        <v>#VALUE!</v>
      </c>
      <c r="R273" s="209" t="e">
        <f aca="true">A273-1-TODAY()</f>
        <v>#VALUE!</v>
      </c>
      <c r="S273" s="210" t="e">
        <f aca="false">VLOOKUP($A273,Curve_Fetch,VLOOKUP(Control!$AJ$10,Control!$AI$11:$AM$22,5))</f>
        <v>#VALUE!</v>
      </c>
      <c r="T273" s="211" t="e">
        <f aca="false">EURO(N273,O273,P273,Q273,S273,R273,IF(Control!$C$38="Call",1,0),0)</f>
        <v>#NAME?</v>
      </c>
      <c r="U273" s="174" t="e">
        <f aca="false">T273*B273*E273</f>
        <v>#VALUE!</v>
      </c>
      <c r="V273" s="224"/>
      <c r="W273" s="213"/>
      <c r="X273" s="213"/>
      <c r="Y273" s="213"/>
      <c r="AA273" s="214"/>
      <c r="AB273" s="214"/>
      <c r="AC273" s="215"/>
      <c r="AD273" s="216"/>
      <c r="AE273" s="217"/>
      <c r="AF273" s="218"/>
      <c r="AG273" s="219"/>
      <c r="AH273" s="220"/>
      <c r="AI273" s="174"/>
      <c r="AJ273" s="171" t="e">
        <f aca="false">Y273-L273</f>
        <v>#VALUE!</v>
      </c>
      <c r="AL273" s="208" t="e">
        <f aca="false">VLOOKUP($C273,Curve_Fetch,2)+Cost_of_Funds</f>
        <v>#VALUE!</v>
      </c>
      <c r="AM273" s="210" t="e">
        <f aca="false">1/(1+AL273/2)^(2*(C273-Val_Date)/365.25)</f>
        <v>#VALUE!</v>
      </c>
      <c r="AO273" s="222" t="e">
        <f aca="false">$B273*$E273*$AM273</f>
        <v>#VALUE!</v>
      </c>
      <c r="AP273" s="222"/>
      <c r="AQ273" s="222" t="e">
        <f aca="false">H273*AO273</f>
        <v>#VALUE!</v>
      </c>
      <c r="AR273" s="222"/>
      <c r="AS273" s="174" t="e">
        <f aca="false">J273*$AO273</f>
        <v>#VALUE!</v>
      </c>
      <c r="AT273" s="174" t="e">
        <f aca="false">K273*$AO273</f>
        <v>#VALUE!</v>
      </c>
      <c r="AU273" s="174" t="e">
        <f aca="false">L273*$AO273</f>
        <v>#VALUE!</v>
      </c>
      <c r="AV273" s="174"/>
      <c r="AW273" s="174"/>
      <c r="AY273" s="220"/>
      <c r="AZ273" s="220"/>
      <c r="BA273" s="223"/>
      <c r="BC273" s="220"/>
      <c r="BE273" s="206"/>
    </row>
    <row r="274" customFormat="false" ht="12.75" hidden="false" customHeight="false" outlineLevel="0" collapsed="false">
      <c r="A274" s="167" t="e">
        <f aca="false">([1]!edate,A273,1)</f>
        <v>#VALUE!</v>
      </c>
      <c r="B274" s="201" t="e">
        <f aca="false">A275-A274</f>
        <v>#VALUE!</v>
      </c>
      <c r="C274" s="202" t="e">
        <f aca="false">IF(Control!$F$18="Physical",Model!A275+24,Model!A275)</f>
        <v>#VALUE!</v>
      </c>
      <c r="E274" s="203" t="e">
        <f aca="false">IF($A274&lt;End_Date,IF(Control!$C$20="Flat",Control!$C$21,VLOOKUP(Model!$A274,Euro!$B$29:$D$182,3)),0)</f>
        <v>#VALUE!</v>
      </c>
      <c r="F274" s="203" t="e">
        <f aca="false">E274*B274</f>
        <v>#VALUE!</v>
      </c>
      <c r="H274" s="204" t="e">
        <f aca="false">IF(Control!$C$27="Mid",VLOOKUP($A274,CurveFetch!$D$8:$F$367,3),VLOOKUP($A274,Euro!$B$29:$I$182,8))</f>
        <v>#VALUE!</v>
      </c>
      <c r="I274" s="204"/>
      <c r="J274" s="204" t="e">
        <f aca="false">IF($J$4="Mid",VLOOKUP($A274,Curve_Fetch,VLOOKUP(Control!$AJ$10,Control!$AI$11:$AK$22,3)),VLOOKUP($A274,Euro!$B$29:$M$182,12))</f>
        <v>#VALUE!</v>
      </c>
      <c r="K274" s="205" t="e">
        <f aca="false">IF(Control!$F$18="Physical",IF($K$4="Mid",VLOOKUP($A274,Curve_Fetch,VLOOKUP(Control!$AJ$10,Control!$AI$11:$AL$22,4)),VLOOKUP($A274,Euro!$B$29:$Q$182,16)),0)</f>
        <v>#VALUE!</v>
      </c>
      <c r="L274" s="204" t="e">
        <f aca="false">SUM(J274:K274)</f>
        <v>#VALUE!</v>
      </c>
      <c r="M274" s="204"/>
      <c r="N274" s="206" t="e">
        <f aca="false">L274+H274</f>
        <v>#VALUE!</v>
      </c>
      <c r="O274" s="206" t="e">
        <f aca="false">N274+Control!$C$39</f>
        <v>#VALUE!</v>
      </c>
      <c r="P274" s="207" t="e">
        <f aca="false">VLOOKUP($A274,CurveFetch!$D$8:$E$367,2)</f>
        <v>#VALUE!</v>
      </c>
      <c r="Q274" s="208" t="e">
        <f aca="false">P274</f>
        <v>#VALUE!</v>
      </c>
      <c r="R274" s="209" t="e">
        <f aca="true">A274-1-TODAY()</f>
        <v>#VALUE!</v>
      </c>
      <c r="S274" s="210" t="e">
        <f aca="false">VLOOKUP($A274,Curve_Fetch,VLOOKUP(Control!$AJ$10,Control!$AI$11:$AM$22,5))</f>
        <v>#VALUE!</v>
      </c>
      <c r="T274" s="211" t="e">
        <f aca="false">EURO(N274,O274,P274,Q274,S274,R274,IF(Control!$C$38="Call",1,0),0)</f>
        <v>#NAME?</v>
      </c>
      <c r="U274" s="174" t="e">
        <f aca="false">T274*B274*E274</f>
        <v>#VALUE!</v>
      </c>
      <c r="V274" s="224"/>
      <c r="W274" s="213"/>
      <c r="X274" s="213"/>
      <c r="Y274" s="213"/>
      <c r="AA274" s="214"/>
      <c r="AB274" s="214"/>
      <c r="AC274" s="215"/>
      <c r="AD274" s="216"/>
      <c r="AE274" s="217"/>
      <c r="AF274" s="218"/>
      <c r="AG274" s="219"/>
      <c r="AH274" s="220"/>
      <c r="AI274" s="174"/>
      <c r="AJ274" s="171" t="e">
        <f aca="false">Y274-L274</f>
        <v>#VALUE!</v>
      </c>
      <c r="AL274" s="208" t="e">
        <f aca="false">VLOOKUP($C274,Curve_Fetch,2)+Cost_of_Funds</f>
        <v>#VALUE!</v>
      </c>
      <c r="AM274" s="210" t="e">
        <f aca="false">1/(1+AL274/2)^(2*(C274-Val_Date)/365.25)</f>
        <v>#VALUE!</v>
      </c>
      <c r="AO274" s="222" t="e">
        <f aca="false">$B274*$E274*$AM274</f>
        <v>#VALUE!</v>
      </c>
      <c r="AP274" s="222"/>
      <c r="AQ274" s="222" t="e">
        <f aca="false">H274*AO274</f>
        <v>#VALUE!</v>
      </c>
      <c r="AR274" s="222"/>
      <c r="AS274" s="174" t="e">
        <f aca="false">J274*$AO274</f>
        <v>#VALUE!</v>
      </c>
      <c r="AT274" s="174" t="e">
        <f aca="false">K274*$AO274</f>
        <v>#VALUE!</v>
      </c>
      <c r="AU274" s="174" t="e">
        <f aca="false">L274*$AO274</f>
        <v>#VALUE!</v>
      </c>
      <c r="AV274" s="174"/>
      <c r="AW274" s="174"/>
      <c r="AY274" s="220"/>
      <c r="AZ274" s="220"/>
      <c r="BA274" s="223"/>
      <c r="BC274" s="220"/>
      <c r="BE274" s="206"/>
    </row>
    <row r="275" customFormat="false" ht="12.75" hidden="false" customHeight="false" outlineLevel="0" collapsed="false">
      <c r="A275" s="167" t="e">
        <f aca="false">([1]!edate,A274,1)</f>
        <v>#VALUE!</v>
      </c>
      <c r="B275" s="201" t="e">
        <f aca="false">A276-A275</f>
        <v>#VALUE!</v>
      </c>
      <c r="C275" s="202" t="e">
        <f aca="false">IF(Control!$F$18="Physical",Model!A276+24,Model!A276)</f>
        <v>#VALUE!</v>
      </c>
      <c r="E275" s="203" t="e">
        <f aca="false">IF($A275&lt;End_Date,IF(Control!$C$20="Flat",Control!$C$21,VLOOKUP(Model!$A275,Euro!$B$29:$D$182,3)),0)</f>
        <v>#VALUE!</v>
      </c>
      <c r="F275" s="203" t="e">
        <f aca="false">E275*B275</f>
        <v>#VALUE!</v>
      </c>
      <c r="H275" s="204" t="e">
        <f aca="false">IF(Control!$C$27="Mid",VLOOKUP($A275,CurveFetch!$D$8:$F$367,3),VLOOKUP($A275,Euro!$B$29:$I$182,8))</f>
        <v>#VALUE!</v>
      </c>
      <c r="I275" s="204"/>
      <c r="J275" s="204" t="e">
        <f aca="false">IF($J$4="Mid",VLOOKUP($A275,Curve_Fetch,VLOOKUP(Control!$AJ$10,Control!$AI$11:$AK$22,3)),VLOOKUP($A275,Euro!$B$29:$M$182,12))</f>
        <v>#VALUE!</v>
      </c>
      <c r="K275" s="205" t="e">
        <f aca="false">IF(Control!$F$18="Physical",IF($K$4="Mid",VLOOKUP($A275,Curve_Fetch,VLOOKUP(Control!$AJ$10,Control!$AI$11:$AL$22,4)),VLOOKUP($A275,Euro!$B$29:$Q$182,16)),0)</f>
        <v>#VALUE!</v>
      </c>
      <c r="L275" s="204" t="e">
        <f aca="false">SUM(J275:K275)</f>
        <v>#VALUE!</v>
      </c>
      <c r="M275" s="204"/>
      <c r="N275" s="206" t="e">
        <f aca="false">L275+H275</f>
        <v>#VALUE!</v>
      </c>
      <c r="O275" s="206" t="e">
        <f aca="false">N275+Control!$C$39</f>
        <v>#VALUE!</v>
      </c>
      <c r="P275" s="207" t="e">
        <f aca="false">VLOOKUP($A275,CurveFetch!$D$8:$E$367,2)</f>
        <v>#VALUE!</v>
      </c>
      <c r="Q275" s="208" t="e">
        <f aca="false">P275</f>
        <v>#VALUE!</v>
      </c>
      <c r="R275" s="209" t="e">
        <f aca="true">A275-1-TODAY()</f>
        <v>#VALUE!</v>
      </c>
      <c r="S275" s="210" t="e">
        <f aca="false">VLOOKUP($A275,Curve_Fetch,VLOOKUP(Control!$AJ$10,Control!$AI$11:$AM$22,5))</f>
        <v>#VALUE!</v>
      </c>
      <c r="T275" s="211" t="e">
        <f aca="false">EURO(N275,O275,P275,Q275,S275,R275,IF(Control!$C$38="Call",1,0),0)</f>
        <v>#NAME?</v>
      </c>
      <c r="U275" s="174" t="e">
        <f aca="false">T275*B275*E275</f>
        <v>#VALUE!</v>
      </c>
      <c r="V275" s="224"/>
      <c r="W275" s="213"/>
      <c r="X275" s="213"/>
      <c r="Y275" s="213"/>
      <c r="AA275" s="214"/>
      <c r="AB275" s="214"/>
      <c r="AC275" s="215"/>
      <c r="AD275" s="216"/>
      <c r="AE275" s="217"/>
      <c r="AF275" s="218"/>
      <c r="AG275" s="219"/>
      <c r="AH275" s="220"/>
      <c r="AI275" s="174"/>
      <c r="AJ275" s="171" t="e">
        <f aca="false">Y275-L275</f>
        <v>#VALUE!</v>
      </c>
      <c r="AL275" s="208" t="e">
        <f aca="false">VLOOKUP($C275,Curve_Fetch,2)+Cost_of_Funds</f>
        <v>#VALUE!</v>
      </c>
      <c r="AM275" s="210" t="e">
        <f aca="false">1/(1+AL275/2)^(2*(C275-Val_Date)/365.25)</f>
        <v>#VALUE!</v>
      </c>
      <c r="AO275" s="222" t="e">
        <f aca="false">$B275*$E275*$AM275</f>
        <v>#VALUE!</v>
      </c>
      <c r="AP275" s="222"/>
      <c r="AQ275" s="222" t="e">
        <f aca="false">H275*AO275</f>
        <v>#VALUE!</v>
      </c>
      <c r="AR275" s="222"/>
      <c r="AS275" s="174" t="e">
        <f aca="false">J275*$AO275</f>
        <v>#VALUE!</v>
      </c>
      <c r="AT275" s="174" t="e">
        <f aca="false">K275*$AO275</f>
        <v>#VALUE!</v>
      </c>
      <c r="AU275" s="174" t="e">
        <f aca="false">L275*$AO275</f>
        <v>#VALUE!</v>
      </c>
      <c r="AV275" s="174"/>
      <c r="AW275" s="174"/>
      <c r="AY275" s="220"/>
      <c r="AZ275" s="220"/>
      <c r="BA275" s="223"/>
      <c r="BC275" s="220"/>
      <c r="BE275" s="206"/>
    </row>
    <row r="276" customFormat="false" ht="12.75" hidden="false" customHeight="false" outlineLevel="0" collapsed="false">
      <c r="A276" s="167" t="e">
        <f aca="false">([1]!edate,A275,1)</f>
        <v>#VALUE!</v>
      </c>
      <c r="B276" s="201" t="e">
        <f aca="false">A277-A276</f>
        <v>#VALUE!</v>
      </c>
      <c r="C276" s="202" t="e">
        <f aca="false">IF(Control!$F$18="Physical",Model!A277+24,Model!A277)</f>
        <v>#VALUE!</v>
      </c>
      <c r="E276" s="203" t="e">
        <f aca="false">IF($A276&lt;End_Date,IF(Control!$C$20="Flat",Control!$C$21,VLOOKUP(Model!$A276,Euro!$B$29:$D$182,3)),0)</f>
        <v>#VALUE!</v>
      </c>
      <c r="F276" s="203" t="e">
        <f aca="false">E276*B276</f>
        <v>#VALUE!</v>
      </c>
      <c r="H276" s="204" t="e">
        <f aca="false">IF(Control!$C$27="Mid",VLOOKUP($A276,CurveFetch!$D$8:$F$367,3),VLOOKUP($A276,Euro!$B$29:$I$182,8))</f>
        <v>#VALUE!</v>
      </c>
      <c r="I276" s="204"/>
      <c r="J276" s="204" t="e">
        <f aca="false">IF($J$4="Mid",VLOOKUP($A276,Curve_Fetch,VLOOKUP(Control!$AJ$10,Control!$AI$11:$AK$22,3)),VLOOKUP($A276,Euro!$B$29:$M$182,12))</f>
        <v>#VALUE!</v>
      </c>
      <c r="K276" s="205" t="e">
        <f aca="false">IF(Control!$F$18="Physical",IF($K$4="Mid",VLOOKUP($A276,Curve_Fetch,VLOOKUP(Control!$AJ$10,Control!$AI$11:$AL$22,4)),VLOOKUP($A276,Euro!$B$29:$Q$182,16)),0)</f>
        <v>#VALUE!</v>
      </c>
      <c r="L276" s="204" t="e">
        <f aca="false">SUM(J276:K276)</f>
        <v>#VALUE!</v>
      </c>
      <c r="M276" s="204"/>
      <c r="N276" s="206" t="e">
        <f aca="false">L276+H276</f>
        <v>#VALUE!</v>
      </c>
      <c r="O276" s="206" t="e">
        <f aca="false">N276+Control!$C$39</f>
        <v>#VALUE!</v>
      </c>
      <c r="P276" s="207" t="e">
        <f aca="false">VLOOKUP($A276,CurveFetch!$D$8:$E$367,2)</f>
        <v>#VALUE!</v>
      </c>
      <c r="Q276" s="208" t="e">
        <f aca="false">P276</f>
        <v>#VALUE!</v>
      </c>
      <c r="R276" s="209" t="e">
        <f aca="true">A276-1-TODAY()</f>
        <v>#VALUE!</v>
      </c>
      <c r="S276" s="210" t="e">
        <f aca="false">VLOOKUP($A276,Curve_Fetch,VLOOKUP(Control!$AJ$10,Control!$AI$11:$AM$22,5))</f>
        <v>#VALUE!</v>
      </c>
      <c r="T276" s="211" t="e">
        <f aca="false">EURO(N276,O276,P276,Q276,S276,R276,IF(Control!$C$38="Call",1,0),0)</f>
        <v>#NAME?</v>
      </c>
      <c r="U276" s="174" t="e">
        <f aca="false">T276*B276*E276</f>
        <v>#VALUE!</v>
      </c>
      <c r="V276" s="224"/>
      <c r="W276" s="213"/>
      <c r="X276" s="213"/>
      <c r="Y276" s="213"/>
      <c r="AA276" s="214"/>
      <c r="AB276" s="214"/>
      <c r="AC276" s="215"/>
      <c r="AD276" s="216"/>
      <c r="AE276" s="217"/>
      <c r="AF276" s="218"/>
      <c r="AG276" s="219"/>
      <c r="AH276" s="220"/>
      <c r="AI276" s="174"/>
      <c r="AJ276" s="171" t="e">
        <f aca="false">Y276-L276</f>
        <v>#VALUE!</v>
      </c>
      <c r="AL276" s="208" t="e">
        <f aca="false">VLOOKUP($C276,Curve_Fetch,2)+Cost_of_Funds</f>
        <v>#VALUE!</v>
      </c>
      <c r="AM276" s="210" t="e">
        <f aca="false">1/(1+AL276/2)^(2*(C276-Val_Date)/365.25)</f>
        <v>#VALUE!</v>
      </c>
      <c r="AO276" s="222" t="e">
        <f aca="false">$B276*$E276*$AM276</f>
        <v>#VALUE!</v>
      </c>
      <c r="AP276" s="222"/>
      <c r="AQ276" s="222" t="e">
        <f aca="false">H276*AO276</f>
        <v>#VALUE!</v>
      </c>
      <c r="AR276" s="222"/>
      <c r="AS276" s="174" t="e">
        <f aca="false">J276*$AO276</f>
        <v>#VALUE!</v>
      </c>
      <c r="AT276" s="174" t="e">
        <f aca="false">K276*$AO276</f>
        <v>#VALUE!</v>
      </c>
      <c r="AU276" s="174" t="e">
        <f aca="false">L276*$AO276</f>
        <v>#VALUE!</v>
      </c>
      <c r="AV276" s="174"/>
      <c r="AW276" s="174"/>
      <c r="AY276" s="220"/>
      <c r="AZ276" s="220"/>
      <c r="BA276" s="223"/>
      <c r="BC276" s="220"/>
      <c r="BE276" s="206"/>
    </row>
    <row r="277" customFormat="false" ht="12.75" hidden="false" customHeight="false" outlineLevel="0" collapsed="false">
      <c r="A277" s="167" t="e">
        <f aca="false">([1]!edate,A276,1)</f>
        <v>#VALUE!</v>
      </c>
      <c r="B277" s="201" t="e">
        <f aca="false">A278-A277</f>
        <v>#VALUE!</v>
      </c>
      <c r="C277" s="202" t="e">
        <f aca="false">IF(Control!$F$18="Physical",Model!A278+24,Model!A278)</f>
        <v>#VALUE!</v>
      </c>
      <c r="E277" s="203" t="e">
        <f aca="false">IF($A277&lt;End_Date,IF(Control!$C$20="Flat",Control!$C$21,VLOOKUP(Model!$A277,Euro!$B$29:$D$182,3)),0)</f>
        <v>#VALUE!</v>
      </c>
      <c r="F277" s="203" t="e">
        <f aca="false">E277*B277</f>
        <v>#VALUE!</v>
      </c>
      <c r="H277" s="204" t="e">
        <f aca="false">IF(Control!$C$27="Mid",VLOOKUP($A277,CurveFetch!$D$8:$F$367,3),VLOOKUP($A277,Euro!$B$29:$I$182,8))</f>
        <v>#VALUE!</v>
      </c>
      <c r="I277" s="204"/>
      <c r="J277" s="204" t="e">
        <f aca="false">IF($J$4="Mid",VLOOKUP($A277,Curve_Fetch,VLOOKUP(Control!$AJ$10,Control!$AI$11:$AK$22,3)),VLOOKUP($A277,Euro!$B$29:$M$182,12))</f>
        <v>#VALUE!</v>
      </c>
      <c r="K277" s="205" t="e">
        <f aca="false">IF(Control!$F$18="Physical",IF($K$4="Mid",VLOOKUP($A277,Curve_Fetch,VLOOKUP(Control!$AJ$10,Control!$AI$11:$AL$22,4)),VLOOKUP($A277,Euro!$B$29:$Q$182,16)),0)</f>
        <v>#VALUE!</v>
      </c>
      <c r="L277" s="204" t="e">
        <f aca="false">SUM(J277:K277)</f>
        <v>#VALUE!</v>
      </c>
      <c r="M277" s="204"/>
      <c r="N277" s="206" t="e">
        <f aca="false">L277+H277</f>
        <v>#VALUE!</v>
      </c>
      <c r="O277" s="206" t="e">
        <f aca="false">N277+Control!$C$39</f>
        <v>#VALUE!</v>
      </c>
      <c r="P277" s="207" t="e">
        <f aca="false">VLOOKUP($A277,CurveFetch!$D$8:$E$367,2)</f>
        <v>#VALUE!</v>
      </c>
      <c r="Q277" s="208" t="e">
        <f aca="false">P277</f>
        <v>#VALUE!</v>
      </c>
      <c r="R277" s="209" t="e">
        <f aca="true">A277-1-TODAY()</f>
        <v>#VALUE!</v>
      </c>
      <c r="S277" s="210" t="e">
        <f aca="false">VLOOKUP($A277,Curve_Fetch,VLOOKUP(Control!$AJ$10,Control!$AI$11:$AM$22,5))</f>
        <v>#VALUE!</v>
      </c>
      <c r="T277" s="211" t="e">
        <f aca="false">EURO(N277,O277,P277,Q277,S277,R277,IF(Control!$C$38="Call",1,0),0)</f>
        <v>#NAME?</v>
      </c>
      <c r="U277" s="174" t="e">
        <f aca="false">T277*B277*E277</f>
        <v>#VALUE!</v>
      </c>
      <c r="V277" s="224"/>
      <c r="W277" s="213"/>
      <c r="X277" s="213"/>
      <c r="Y277" s="213"/>
      <c r="AA277" s="214"/>
      <c r="AB277" s="214"/>
      <c r="AC277" s="215"/>
      <c r="AD277" s="216"/>
      <c r="AE277" s="217"/>
      <c r="AF277" s="218"/>
      <c r="AG277" s="219"/>
      <c r="AH277" s="220"/>
      <c r="AI277" s="174"/>
      <c r="AJ277" s="171" t="e">
        <f aca="false">Y277-L277</f>
        <v>#VALUE!</v>
      </c>
      <c r="AL277" s="208" t="e">
        <f aca="false">VLOOKUP($C277,Curve_Fetch,2)+Cost_of_Funds</f>
        <v>#VALUE!</v>
      </c>
      <c r="AM277" s="210" t="e">
        <f aca="false">1/(1+AL277/2)^(2*(C277-Val_Date)/365.25)</f>
        <v>#VALUE!</v>
      </c>
      <c r="AO277" s="222" t="e">
        <f aca="false">$B277*$E277*$AM277</f>
        <v>#VALUE!</v>
      </c>
      <c r="AP277" s="222"/>
      <c r="AQ277" s="222" t="e">
        <f aca="false">H277*AO277</f>
        <v>#VALUE!</v>
      </c>
      <c r="AR277" s="222"/>
      <c r="AS277" s="174" t="e">
        <f aca="false">J277*$AO277</f>
        <v>#VALUE!</v>
      </c>
      <c r="AT277" s="174" t="e">
        <f aca="false">K277*$AO277</f>
        <v>#VALUE!</v>
      </c>
      <c r="AU277" s="174" t="e">
        <f aca="false">L277*$AO277</f>
        <v>#VALUE!</v>
      </c>
      <c r="AV277" s="174"/>
      <c r="AW277" s="174"/>
      <c r="AY277" s="220"/>
      <c r="AZ277" s="220"/>
      <c r="BA277" s="223"/>
      <c r="BC277" s="220"/>
      <c r="BE277" s="206"/>
    </row>
    <row r="278" customFormat="false" ht="12.75" hidden="false" customHeight="false" outlineLevel="0" collapsed="false">
      <c r="A278" s="167" t="e">
        <f aca="false">([1]!edate,A277,1)</f>
        <v>#VALUE!</v>
      </c>
      <c r="B278" s="201" t="e">
        <f aca="false">A279-A278</f>
        <v>#VALUE!</v>
      </c>
      <c r="C278" s="202" t="e">
        <f aca="false">IF(Control!$F$18="Physical",Model!A279+24,Model!A279)</f>
        <v>#VALUE!</v>
      </c>
      <c r="E278" s="203" t="e">
        <f aca="false">IF($A278&lt;End_Date,IF(Control!$C$20="Flat",Control!$C$21,VLOOKUP(Model!$A278,Euro!$B$29:$D$182,3)),0)</f>
        <v>#VALUE!</v>
      </c>
      <c r="F278" s="203" t="e">
        <f aca="false">E278*B278</f>
        <v>#VALUE!</v>
      </c>
      <c r="H278" s="204" t="e">
        <f aca="false">IF(Control!$C$27="Mid",VLOOKUP($A278,CurveFetch!$D$8:$F$367,3),VLOOKUP($A278,Euro!$B$29:$I$182,8))</f>
        <v>#VALUE!</v>
      </c>
      <c r="I278" s="204"/>
      <c r="J278" s="204" t="e">
        <f aca="false">IF($J$4="Mid",VLOOKUP($A278,Curve_Fetch,VLOOKUP(Control!$AJ$10,Control!$AI$11:$AK$22,3)),VLOOKUP($A278,Euro!$B$29:$M$182,12))</f>
        <v>#VALUE!</v>
      </c>
      <c r="K278" s="205" t="e">
        <f aca="false">IF(Control!$F$18="Physical",IF($K$4="Mid",VLOOKUP($A278,Curve_Fetch,VLOOKUP(Control!$AJ$10,Control!$AI$11:$AL$22,4)),VLOOKUP($A278,Euro!$B$29:$Q$182,16)),0)</f>
        <v>#VALUE!</v>
      </c>
      <c r="L278" s="204" t="e">
        <f aca="false">SUM(J278:K278)</f>
        <v>#VALUE!</v>
      </c>
      <c r="M278" s="204"/>
      <c r="N278" s="206" t="e">
        <f aca="false">L278+H278</f>
        <v>#VALUE!</v>
      </c>
      <c r="O278" s="206" t="e">
        <f aca="false">N278+Control!$C$39</f>
        <v>#VALUE!</v>
      </c>
      <c r="P278" s="207" t="e">
        <f aca="false">VLOOKUP($A278,CurveFetch!$D$8:$E$367,2)</f>
        <v>#VALUE!</v>
      </c>
      <c r="Q278" s="208" t="e">
        <f aca="false">P278</f>
        <v>#VALUE!</v>
      </c>
      <c r="R278" s="209" t="e">
        <f aca="true">A278-1-TODAY()</f>
        <v>#VALUE!</v>
      </c>
      <c r="S278" s="210" t="e">
        <f aca="false">VLOOKUP($A278,Curve_Fetch,VLOOKUP(Control!$AJ$10,Control!$AI$11:$AM$22,5))</f>
        <v>#VALUE!</v>
      </c>
      <c r="T278" s="211" t="e">
        <f aca="false">EURO(N278,O278,P278,Q278,S278,R278,IF(Control!$C$38="Call",1,0),0)</f>
        <v>#NAME?</v>
      </c>
      <c r="U278" s="174" t="e">
        <f aca="false">T278*B278*E278</f>
        <v>#VALUE!</v>
      </c>
      <c r="V278" s="224"/>
      <c r="W278" s="213"/>
      <c r="X278" s="213"/>
      <c r="Y278" s="213"/>
      <c r="AA278" s="214"/>
      <c r="AB278" s="214"/>
      <c r="AC278" s="215"/>
      <c r="AD278" s="216"/>
      <c r="AE278" s="217"/>
      <c r="AF278" s="218"/>
      <c r="AG278" s="219"/>
      <c r="AH278" s="220"/>
      <c r="AI278" s="174"/>
      <c r="AJ278" s="171" t="e">
        <f aca="false">Y278-L278</f>
        <v>#VALUE!</v>
      </c>
      <c r="AL278" s="208" t="e">
        <f aca="false">VLOOKUP($C278,Curve_Fetch,2)+Cost_of_Funds</f>
        <v>#VALUE!</v>
      </c>
      <c r="AM278" s="210" t="e">
        <f aca="false">1/(1+AL278/2)^(2*(C278-Val_Date)/365.25)</f>
        <v>#VALUE!</v>
      </c>
      <c r="AO278" s="222" t="e">
        <f aca="false">$B278*$E278*$AM278</f>
        <v>#VALUE!</v>
      </c>
      <c r="AP278" s="222"/>
      <c r="AQ278" s="222" t="e">
        <f aca="false">H278*AO278</f>
        <v>#VALUE!</v>
      </c>
      <c r="AR278" s="222"/>
      <c r="AS278" s="174" t="e">
        <f aca="false">J278*$AO278</f>
        <v>#VALUE!</v>
      </c>
      <c r="AT278" s="174" t="e">
        <f aca="false">K278*$AO278</f>
        <v>#VALUE!</v>
      </c>
      <c r="AU278" s="174" t="e">
        <f aca="false">L278*$AO278</f>
        <v>#VALUE!</v>
      </c>
      <c r="AV278" s="174"/>
      <c r="AW278" s="174"/>
      <c r="AY278" s="220"/>
      <c r="AZ278" s="220"/>
      <c r="BA278" s="223"/>
      <c r="BC278" s="220"/>
      <c r="BE278" s="206"/>
    </row>
    <row r="279" customFormat="false" ht="12.75" hidden="false" customHeight="false" outlineLevel="0" collapsed="false">
      <c r="A279" s="167" t="e">
        <f aca="false">([1]!edate,A278,1)</f>
        <v>#VALUE!</v>
      </c>
      <c r="B279" s="201" t="e">
        <f aca="false">A280-A279</f>
        <v>#VALUE!</v>
      </c>
      <c r="C279" s="202" t="e">
        <f aca="false">IF(Control!$F$18="Physical",Model!A280+24,Model!A280)</f>
        <v>#VALUE!</v>
      </c>
      <c r="E279" s="203" t="e">
        <f aca="false">IF($A279&lt;End_Date,IF(Control!$C$20="Flat",Control!$C$21,VLOOKUP(Model!$A279,Euro!$B$29:$D$182,3)),0)</f>
        <v>#VALUE!</v>
      </c>
      <c r="F279" s="203" t="e">
        <f aca="false">E279*B279</f>
        <v>#VALUE!</v>
      </c>
      <c r="H279" s="204" t="e">
        <f aca="false">IF(Control!$C$27="Mid",VLOOKUP($A279,CurveFetch!$D$8:$F$367,3),VLOOKUP($A279,Euro!$B$29:$I$182,8))</f>
        <v>#VALUE!</v>
      </c>
      <c r="I279" s="204"/>
      <c r="J279" s="204" t="e">
        <f aca="false">IF($J$4="Mid",VLOOKUP($A279,Curve_Fetch,VLOOKUP(Control!$AJ$10,Control!$AI$11:$AK$22,3)),VLOOKUP($A279,Euro!$B$29:$M$182,12))</f>
        <v>#VALUE!</v>
      </c>
      <c r="K279" s="205" t="e">
        <f aca="false">IF(Control!$F$18="Physical",IF($K$4="Mid",VLOOKUP($A279,Curve_Fetch,VLOOKUP(Control!$AJ$10,Control!$AI$11:$AL$22,4)),VLOOKUP($A279,Euro!$B$29:$Q$182,16)),0)</f>
        <v>#VALUE!</v>
      </c>
      <c r="L279" s="204" t="e">
        <f aca="false">SUM(J279:K279)</f>
        <v>#VALUE!</v>
      </c>
      <c r="M279" s="204"/>
      <c r="N279" s="206" t="e">
        <f aca="false">L279+H279</f>
        <v>#VALUE!</v>
      </c>
      <c r="O279" s="206" t="e">
        <f aca="false">N279+Control!$C$39</f>
        <v>#VALUE!</v>
      </c>
      <c r="P279" s="207" t="e">
        <f aca="false">VLOOKUP($A279,CurveFetch!$D$8:$E$367,2)</f>
        <v>#VALUE!</v>
      </c>
      <c r="Q279" s="208" t="e">
        <f aca="false">P279</f>
        <v>#VALUE!</v>
      </c>
      <c r="R279" s="209" t="e">
        <f aca="true">A279-1-TODAY()</f>
        <v>#VALUE!</v>
      </c>
      <c r="S279" s="210" t="e">
        <f aca="false">VLOOKUP($A279,Curve_Fetch,VLOOKUP(Control!$AJ$10,Control!$AI$11:$AM$22,5))</f>
        <v>#VALUE!</v>
      </c>
      <c r="T279" s="211" t="e">
        <f aca="false">EURO(N279,O279,P279,Q279,S279,R279,IF(Control!$C$38="Call",1,0),0)</f>
        <v>#NAME?</v>
      </c>
      <c r="U279" s="174" t="e">
        <f aca="false">T279*B279*E279</f>
        <v>#VALUE!</v>
      </c>
      <c r="V279" s="224"/>
      <c r="W279" s="213"/>
      <c r="X279" s="213"/>
      <c r="Y279" s="213"/>
      <c r="AA279" s="214"/>
      <c r="AB279" s="214"/>
      <c r="AC279" s="215"/>
      <c r="AD279" s="216"/>
      <c r="AE279" s="217"/>
      <c r="AF279" s="218"/>
      <c r="AG279" s="219"/>
      <c r="AH279" s="220"/>
      <c r="AI279" s="174"/>
      <c r="AJ279" s="171" t="e">
        <f aca="false">Y279-L279</f>
        <v>#VALUE!</v>
      </c>
      <c r="AL279" s="208" t="e">
        <f aca="false">VLOOKUP($C279,Curve_Fetch,2)+Cost_of_Funds</f>
        <v>#VALUE!</v>
      </c>
      <c r="AM279" s="210" t="e">
        <f aca="false">1/(1+AL279/2)^(2*(C279-Val_Date)/365.25)</f>
        <v>#VALUE!</v>
      </c>
      <c r="AO279" s="222" t="e">
        <f aca="false">$B279*$E279*$AM279</f>
        <v>#VALUE!</v>
      </c>
      <c r="AP279" s="222"/>
      <c r="AQ279" s="222" t="e">
        <f aca="false">H279*AO279</f>
        <v>#VALUE!</v>
      </c>
      <c r="AR279" s="222"/>
      <c r="AS279" s="174" t="e">
        <f aca="false">J279*$AO279</f>
        <v>#VALUE!</v>
      </c>
      <c r="AT279" s="174" t="e">
        <f aca="false">K279*$AO279</f>
        <v>#VALUE!</v>
      </c>
      <c r="AU279" s="174" t="e">
        <f aca="false">L279*$AO279</f>
        <v>#VALUE!</v>
      </c>
      <c r="AV279" s="174"/>
      <c r="AW279" s="174"/>
      <c r="AY279" s="220"/>
      <c r="AZ279" s="220"/>
      <c r="BA279" s="223"/>
      <c r="BC279" s="220"/>
      <c r="BE279" s="206"/>
    </row>
    <row r="280" customFormat="false" ht="12.75" hidden="false" customHeight="false" outlineLevel="0" collapsed="false">
      <c r="A280" s="167" t="e">
        <f aca="false">([1]!edate,A279,1)</f>
        <v>#VALUE!</v>
      </c>
      <c r="B280" s="201" t="e">
        <f aca="false">A281-A280</f>
        <v>#VALUE!</v>
      </c>
      <c r="C280" s="202" t="e">
        <f aca="false">IF(Control!$F$18="Physical",Model!A281+24,Model!A281)</f>
        <v>#VALUE!</v>
      </c>
      <c r="E280" s="203" t="e">
        <f aca="false">IF($A280&lt;End_Date,IF(Control!$C$20="Flat",Control!$C$21,VLOOKUP(Model!$A280,Euro!$B$29:$D$182,3)),0)</f>
        <v>#VALUE!</v>
      </c>
      <c r="F280" s="203" t="e">
        <f aca="false">E280*B280</f>
        <v>#VALUE!</v>
      </c>
      <c r="H280" s="204" t="e">
        <f aca="false">IF(Control!$C$27="Mid",VLOOKUP($A280,CurveFetch!$D$8:$F$367,3),VLOOKUP($A280,Euro!$B$29:$I$182,8))</f>
        <v>#VALUE!</v>
      </c>
      <c r="I280" s="204"/>
      <c r="J280" s="204" t="e">
        <f aca="false">IF($J$4="Mid",VLOOKUP($A280,Curve_Fetch,VLOOKUP(Control!$AJ$10,Control!$AI$11:$AK$22,3)),VLOOKUP($A280,Euro!$B$29:$M$182,12))</f>
        <v>#VALUE!</v>
      </c>
      <c r="K280" s="205" t="e">
        <f aca="false">IF(Control!$F$18="Physical",IF($K$4="Mid",VLOOKUP($A280,Curve_Fetch,VLOOKUP(Control!$AJ$10,Control!$AI$11:$AL$22,4)),VLOOKUP($A280,Euro!$B$29:$Q$182,16)),0)</f>
        <v>#VALUE!</v>
      </c>
      <c r="L280" s="204" t="e">
        <f aca="false">SUM(J280:K280)</f>
        <v>#VALUE!</v>
      </c>
      <c r="M280" s="204"/>
      <c r="N280" s="206" t="e">
        <f aca="false">L280+H280</f>
        <v>#VALUE!</v>
      </c>
      <c r="O280" s="206" t="e">
        <f aca="false">N280+Control!$C$39</f>
        <v>#VALUE!</v>
      </c>
      <c r="P280" s="207" t="e">
        <f aca="false">VLOOKUP($A280,CurveFetch!$D$8:$E$367,2)</f>
        <v>#VALUE!</v>
      </c>
      <c r="Q280" s="208" t="e">
        <f aca="false">P280</f>
        <v>#VALUE!</v>
      </c>
      <c r="R280" s="209" t="e">
        <f aca="true">A280-1-TODAY()</f>
        <v>#VALUE!</v>
      </c>
      <c r="S280" s="210" t="e">
        <f aca="false">VLOOKUP($A280,Curve_Fetch,VLOOKUP(Control!$AJ$10,Control!$AI$11:$AM$22,5))</f>
        <v>#VALUE!</v>
      </c>
      <c r="T280" s="211" t="e">
        <f aca="false">EURO(N280,O280,P280,Q280,S280,R280,IF(Control!$C$38="Call",1,0),0)</f>
        <v>#NAME?</v>
      </c>
      <c r="U280" s="174" t="e">
        <f aca="false">T280*B280*E280</f>
        <v>#VALUE!</v>
      </c>
      <c r="V280" s="224"/>
      <c r="W280" s="213"/>
      <c r="X280" s="213"/>
      <c r="Y280" s="213"/>
      <c r="AA280" s="214"/>
      <c r="AB280" s="214"/>
      <c r="AC280" s="215"/>
      <c r="AD280" s="216"/>
      <c r="AE280" s="217"/>
      <c r="AF280" s="218"/>
      <c r="AG280" s="219"/>
      <c r="AH280" s="220"/>
      <c r="AI280" s="174"/>
      <c r="AJ280" s="171" t="e">
        <f aca="false">Y280-L280</f>
        <v>#VALUE!</v>
      </c>
      <c r="AL280" s="208" t="e">
        <f aca="false">VLOOKUP($C280,Curve_Fetch,2)+Cost_of_Funds</f>
        <v>#VALUE!</v>
      </c>
      <c r="AM280" s="210" t="e">
        <f aca="false">1/(1+AL280/2)^(2*(C280-Val_Date)/365.25)</f>
        <v>#VALUE!</v>
      </c>
      <c r="AO280" s="222" t="e">
        <f aca="false">$B280*$E280*$AM280</f>
        <v>#VALUE!</v>
      </c>
      <c r="AP280" s="222"/>
      <c r="AQ280" s="222" t="e">
        <f aca="false">H280*AO280</f>
        <v>#VALUE!</v>
      </c>
      <c r="AR280" s="222"/>
      <c r="AS280" s="174" t="e">
        <f aca="false">J280*$AO280</f>
        <v>#VALUE!</v>
      </c>
      <c r="AT280" s="174" t="e">
        <f aca="false">K280*$AO280</f>
        <v>#VALUE!</v>
      </c>
      <c r="AU280" s="174" t="e">
        <f aca="false">L280*$AO280</f>
        <v>#VALUE!</v>
      </c>
      <c r="AV280" s="174"/>
      <c r="AW280" s="174"/>
      <c r="AY280" s="220"/>
      <c r="AZ280" s="220"/>
      <c r="BA280" s="223"/>
      <c r="BC280" s="220"/>
      <c r="BE280" s="206"/>
    </row>
    <row r="281" customFormat="false" ht="12.75" hidden="false" customHeight="false" outlineLevel="0" collapsed="false">
      <c r="A281" s="167" t="e">
        <f aca="false">([1]!edate,A280,1)</f>
        <v>#VALUE!</v>
      </c>
      <c r="B281" s="201" t="e">
        <f aca="false">A282-A281</f>
        <v>#VALUE!</v>
      </c>
      <c r="C281" s="202" t="e">
        <f aca="false">IF(Control!$F$18="Physical",Model!A282+24,Model!A282)</f>
        <v>#VALUE!</v>
      </c>
      <c r="E281" s="203" t="e">
        <f aca="false">IF($A281&lt;End_Date,IF(Control!$C$20="Flat",Control!$C$21,VLOOKUP(Model!$A281,Euro!$B$29:$D$182,3)),0)</f>
        <v>#VALUE!</v>
      </c>
      <c r="F281" s="203" t="e">
        <f aca="false">E281*B281</f>
        <v>#VALUE!</v>
      </c>
      <c r="H281" s="204" t="e">
        <f aca="false">IF(Control!$C$27="Mid",VLOOKUP($A281,CurveFetch!$D$8:$F$367,3),VLOOKUP($A281,Euro!$B$29:$I$182,8))</f>
        <v>#VALUE!</v>
      </c>
      <c r="I281" s="204"/>
      <c r="J281" s="204" t="e">
        <f aca="false">IF($J$4="Mid",VLOOKUP($A281,Curve_Fetch,VLOOKUP(Control!$AJ$10,Control!$AI$11:$AK$22,3)),VLOOKUP($A281,Euro!$B$29:$M$182,12))</f>
        <v>#VALUE!</v>
      </c>
      <c r="K281" s="205" t="e">
        <f aca="false">IF(Control!$F$18="Physical",IF($K$4="Mid",VLOOKUP($A281,Curve_Fetch,VLOOKUP(Control!$AJ$10,Control!$AI$11:$AL$22,4)),VLOOKUP($A281,Euro!$B$29:$Q$182,16)),0)</f>
        <v>#VALUE!</v>
      </c>
      <c r="L281" s="204" t="e">
        <f aca="false">SUM(J281:K281)</f>
        <v>#VALUE!</v>
      </c>
      <c r="M281" s="204"/>
      <c r="N281" s="206" t="e">
        <f aca="false">L281+H281</f>
        <v>#VALUE!</v>
      </c>
      <c r="O281" s="206" t="e">
        <f aca="false">N281+Control!$C$39</f>
        <v>#VALUE!</v>
      </c>
      <c r="P281" s="207" t="e">
        <f aca="false">VLOOKUP($A281,CurveFetch!$D$8:$E$367,2)</f>
        <v>#VALUE!</v>
      </c>
      <c r="Q281" s="208" t="e">
        <f aca="false">P281</f>
        <v>#VALUE!</v>
      </c>
      <c r="R281" s="209" t="e">
        <f aca="true">A281-1-TODAY()</f>
        <v>#VALUE!</v>
      </c>
      <c r="S281" s="210" t="e">
        <f aca="false">VLOOKUP($A281,Curve_Fetch,VLOOKUP(Control!$AJ$10,Control!$AI$11:$AM$22,5))</f>
        <v>#VALUE!</v>
      </c>
      <c r="T281" s="211" t="e">
        <f aca="false">EURO(N281,O281,P281,Q281,S281,R281,IF(Control!$C$38="Call",1,0),0)</f>
        <v>#NAME?</v>
      </c>
      <c r="U281" s="174" t="e">
        <f aca="false">T281*B281*E281</f>
        <v>#VALUE!</v>
      </c>
      <c r="V281" s="224"/>
      <c r="W281" s="213"/>
      <c r="X281" s="213"/>
      <c r="Y281" s="213"/>
      <c r="AA281" s="214"/>
      <c r="AB281" s="214"/>
      <c r="AC281" s="215"/>
      <c r="AD281" s="216"/>
      <c r="AE281" s="217"/>
      <c r="AF281" s="218"/>
      <c r="AG281" s="219"/>
      <c r="AH281" s="220"/>
      <c r="AI281" s="174"/>
      <c r="AJ281" s="171" t="e">
        <f aca="false">Y281-L281</f>
        <v>#VALUE!</v>
      </c>
      <c r="AL281" s="208" t="e">
        <f aca="false">VLOOKUP($C281,Curve_Fetch,2)+Cost_of_Funds</f>
        <v>#VALUE!</v>
      </c>
      <c r="AM281" s="210" t="e">
        <f aca="false">1/(1+AL281/2)^(2*(C281-Val_Date)/365.25)</f>
        <v>#VALUE!</v>
      </c>
      <c r="AO281" s="222" t="e">
        <f aca="false">$B281*$E281*$AM281</f>
        <v>#VALUE!</v>
      </c>
      <c r="AP281" s="222"/>
      <c r="AQ281" s="222" t="e">
        <f aca="false">H281*AO281</f>
        <v>#VALUE!</v>
      </c>
      <c r="AR281" s="222"/>
      <c r="AS281" s="174" t="e">
        <f aca="false">J281*$AO281</f>
        <v>#VALUE!</v>
      </c>
      <c r="AT281" s="174" t="e">
        <f aca="false">K281*$AO281</f>
        <v>#VALUE!</v>
      </c>
      <c r="AU281" s="174" t="e">
        <f aca="false">L281*$AO281</f>
        <v>#VALUE!</v>
      </c>
      <c r="AV281" s="174"/>
      <c r="AW281" s="174"/>
      <c r="AY281" s="220"/>
      <c r="AZ281" s="220"/>
      <c r="BA281" s="223"/>
      <c r="BC281" s="220"/>
      <c r="BE281" s="206"/>
    </row>
    <row r="282" customFormat="false" ht="12.75" hidden="false" customHeight="false" outlineLevel="0" collapsed="false">
      <c r="A282" s="167" t="e">
        <f aca="false">([1]!edate,A281,1)</f>
        <v>#VALUE!</v>
      </c>
      <c r="B282" s="201" t="e">
        <f aca="false">A283-A282</f>
        <v>#VALUE!</v>
      </c>
      <c r="C282" s="202" t="e">
        <f aca="false">IF(Control!$F$18="Physical",Model!A283+24,Model!A283)</f>
        <v>#VALUE!</v>
      </c>
      <c r="E282" s="203" t="e">
        <f aca="false">IF($A282&lt;End_Date,IF(Control!$C$20="Flat",Control!$C$21,VLOOKUP(Model!$A282,Euro!$B$29:$D$182,3)),0)</f>
        <v>#VALUE!</v>
      </c>
      <c r="F282" s="203" t="e">
        <f aca="false">E282*B282</f>
        <v>#VALUE!</v>
      </c>
      <c r="H282" s="204" t="e">
        <f aca="false">IF(Control!$C$27="Mid",VLOOKUP($A282,CurveFetch!$D$8:$F$367,3),VLOOKUP($A282,Euro!$B$29:$I$182,8))</f>
        <v>#VALUE!</v>
      </c>
      <c r="I282" s="204"/>
      <c r="J282" s="204" t="e">
        <f aca="false">IF($J$4="Mid",VLOOKUP($A282,Curve_Fetch,VLOOKUP(Control!$AJ$10,Control!$AI$11:$AK$22,3)),VLOOKUP($A282,Euro!$B$29:$M$182,12))</f>
        <v>#VALUE!</v>
      </c>
      <c r="K282" s="205" t="e">
        <f aca="false">IF(Control!$F$18="Physical",IF($K$4="Mid",VLOOKUP($A282,Curve_Fetch,VLOOKUP(Control!$AJ$10,Control!$AI$11:$AL$22,4)),VLOOKUP($A282,Euro!$B$29:$Q$182,16)),0)</f>
        <v>#VALUE!</v>
      </c>
      <c r="L282" s="204" t="e">
        <f aca="false">SUM(J282:K282)</f>
        <v>#VALUE!</v>
      </c>
      <c r="M282" s="204"/>
      <c r="N282" s="206" t="e">
        <f aca="false">L282+H282</f>
        <v>#VALUE!</v>
      </c>
      <c r="O282" s="206" t="e">
        <f aca="false">N282+Control!$C$39</f>
        <v>#VALUE!</v>
      </c>
      <c r="P282" s="207" t="e">
        <f aca="false">VLOOKUP($A282,CurveFetch!$D$8:$E$367,2)</f>
        <v>#VALUE!</v>
      </c>
      <c r="Q282" s="208" t="e">
        <f aca="false">P282</f>
        <v>#VALUE!</v>
      </c>
      <c r="R282" s="209" t="e">
        <f aca="true">A282-1-TODAY()</f>
        <v>#VALUE!</v>
      </c>
      <c r="S282" s="210" t="e">
        <f aca="false">VLOOKUP($A282,Curve_Fetch,VLOOKUP(Control!$AJ$10,Control!$AI$11:$AM$22,5))</f>
        <v>#VALUE!</v>
      </c>
      <c r="T282" s="211" t="e">
        <f aca="false">EURO(N282,O282,P282,Q282,S282,R282,IF(Control!$C$38="Call",1,0),0)</f>
        <v>#NAME?</v>
      </c>
      <c r="U282" s="174" t="e">
        <f aca="false">T282*B282*E282</f>
        <v>#VALUE!</v>
      </c>
      <c r="V282" s="224"/>
      <c r="W282" s="213"/>
      <c r="X282" s="213"/>
      <c r="Y282" s="213"/>
      <c r="AA282" s="214"/>
      <c r="AB282" s="214"/>
      <c r="AC282" s="215"/>
      <c r="AD282" s="216"/>
      <c r="AE282" s="217"/>
      <c r="AF282" s="218"/>
      <c r="AG282" s="219"/>
      <c r="AH282" s="220"/>
      <c r="AI282" s="174"/>
      <c r="AJ282" s="171" t="e">
        <f aca="false">Y282-L282</f>
        <v>#VALUE!</v>
      </c>
      <c r="AL282" s="208" t="e">
        <f aca="false">VLOOKUP($C282,Curve_Fetch,2)+Cost_of_Funds</f>
        <v>#VALUE!</v>
      </c>
      <c r="AM282" s="210" t="e">
        <f aca="false">1/(1+AL282/2)^(2*(C282-Val_Date)/365.25)</f>
        <v>#VALUE!</v>
      </c>
      <c r="AO282" s="222" t="e">
        <f aca="false">$B282*$E282*$AM282</f>
        <v>#VALUE!</v>
      </c>
      <c r="AP282" s="222"/>
      <c r="AQ282" s="222" t="e">
        <f aca="false">H282*AO282</f>
        <v>#VALUE!</v>
      </c>
      <c r="AR282" s="222"/>
      <c r="AS282" s="174" t="e">
        <f aca="false">J282*$AO282</f>
        <v>#VALUE!</v>
      </c>
      <c r="AT282" s="174" t="e">
        <f aca="false">K282*$AO282</f>
        <v>#VALUE!</v>
      </c>
      <c r="AU282" s="174" t="e">
        <f aca="false">L282*$AO282</f>
        <v>#VALUE!</v>
      </c>
      <c r="AV282" s="174"/>
      <c r="AW282" s="174"/>
      <c r="AY282" s="220"/>
      <c r="AZ282" s="220"/>
      <c r="BA282" s="223"/>
      <c r="BC282" s="220"/>
      <c r="BE282" s="206"/>
    </row>
    <row r="283" customFormat="false" ht="12.75" hidden="false" customHeight="false" outlineLevel="0" collapsed="false">
      <c r="A283" s="167" t="e">
        <f aca="false">([1]!edate,A282,1)</f>
        <v>#VALUE!</v>
      </c>
      <c r="B283" s="201" t="e">
        <f aca="false">A284-A283</f>
        <v>#VALUE!</v>
      </c>
      <c r="C283" s="202" t="e">
        <f aca="false">IF(Control!$F$18="Physical",Model!A284+24,Model!A284)</f>
        <v>#VALUE!</v>
      </c>
      <c r="E283" s="203" t="e">
        <f aca="false">IF($A283&lt;End_Date,IF(Control!$C$20="Flat",Control!$C$21,VLOOKUP(Model!$A283,Euro!$B$29:$D$182,3)),0)</f>
        <v>#VALUE!</v>
      </c>
      <c r="F283" s="203" t="e">
        <f aca="false">E283*B283</f>
        <v>#VALUE!</v>
      </c>
      <c r="H283" s="204" t="e">
        <f aca="false">IF(Control!$C$27="Mid",VLOOKUP($A283,CurveFetch!$D$8:$F$367,3),VLOOKUP($A283,Euro!$B$29:$I$182,8))</f>
        <v>#VALUE!</v>
      </c>
      <c r="I283" s="204"/>
      <c r="J283" s="204" t="e">
        <f aca="false">IF($J$4="Mid",VLOOKUP($A283,Curve_Fetch,VLOOKUP(Control!$AJ$10,Control!$AI$11:$AK$22,3)),VLOOKUP($A283,Euro!$B$29:$M$182,12))</f>
        <v>#VALUE!</v>
      </c>
      <c r="K283" s="205" t="e">
        <f aca="false">IF(Control!$F$18="Physical",IF($K$4="Mid",VLOOKUP($A283,Curve_Fetch,VLOOKUP(Control!$AJ$10,Control!$AI$11:$AL$22,4)),VLOOKUP($A283,Euro!$B$29:$Q$182,16)),0)</f>
        <v>#VALUE!</v>
      </c>
      <c r="L283" s="204" t="e">
        <f aca="false">SUM(J283:K283)</f>
        <v>#VALUE!</v>
      </c>
      <c r="M283" s="204"/>
      <c r="N283" s="206" t="e">
        <f aca="false">L283+H283</f>
        <v>#VALUE!</v>
      </c>
      <c r="O283" s="206" t="e">
        <f aca="false">N283+Control!$C$39</f>
        <v>#VALUE!</v>
      </c>
      <c r="P283" s="207" t="e">
        <f aca="false">VLOOKUP($A283,CurveFetch!$D$8:$E$367,2)</f>
        <v>#VALUE!</v>
      </c>
      <c r="Q283" s="208" t="e">
        <f aca="false">P283</f>
        <v>#VALUE!</v>
      </c>
      <c r="R283" s="209" t="e">
        <f aca="true">A283-1-TODAY()</f>
        <v>#VALUE!</v>
      </c>
      <c r="S283" s="210" t="e">
        <f aca="false">VLOOKUP($A283,Curve_Fetch,VLOOKUP(Control!$AJ$10,Control!$AI$11:$AM$22,5))</f>
        <v>#VALUE!</v>
      </c>
      <c r="T283" s="211" t="e">
        <f aca="false">EURO(N283,O283,P283,Q283,S283,R283,IF(Control!$C$38="Call",1,0),0)</f>
        <v>#NAME?</v>
      </c>
      <c r="U283" s="174" t="e">
        <f aca="false">T283*B283*E283</f>
        <v>#VALUE!</v>
      </c>
      <c r="V283" s="224"/>
      <c r="W283" s="213"/>
      <c r="X283" s="213"/>
      <c r="Y283" s="213"/>
      <c r="AA283" s="214"/>
      <c r="AB283" s="214"/>
      <c r="AC283" s="215"/>
      <c r="AD283" s="216"/>
      <c r="AE283" s="217"/>
      <c r="AF283" s="218"/>
      <c r="AG283" s="219"/>
      <c r="AH283" s="220"/>
      <c r="AI283" s="174"/>
      <c r="AJ283" s="171" t="e">
        <f aca="false">Y283-L283</f>
        <v>#VALUE!</v>
      </c>
      <c r="AL283" s="208" t="e">
        <f aca="false">VLOOKUP($C283,Curve_Fetch,2)+Cost_of_Funds</f>
        <v>#VALUE!</v>
      </c>
      <c r="AM283" s="210" t="e">
        <f aca="false">1/(1+AL283/2)^(2*(C283-Val_Date)/365.25)</f>
        <v>#VALUE!</v>
      </c>
      <c r="AO283" s="222" t="e">
        <f aca="false">$B283*$E283*$AM283</f>
        <v>#VALUE!</v>
      </c>
      <c r="AP283" s="222"/>
      <c r="AQ283" s="222" t="e">
        <f aca="false">H283*AO283</f>
        <v>#VALUE!</v>
      </c>
      <c r="AR283" s="222"/>
      <c r="AS283" s="174" t="e">
        <f aca="false">J283*$AO283</f>
        <v>#VALUE!</v>
      </c>
      <c r="AT283" s="174" t="e">
        <f aca="false">K283*$AO283</f>
        <v>#VALUE!</v>
      </c>
      <c r="AU283" s="174" t="e">
        <f aca="false">L283*$AO283</f>
        <v>#VALUE!</v>
      </c>
      <c r="AV283" s="174"/>
      <c r="AW283" s="174"/>
      <c r="AY283" s="220"/>
      <c r="AZ283" s="220"/>
      <c r="BA283" s="223"/>
      <c r="BC283" s="220"/>
      <c r="BE283" s="206"/>
    </row>
    <row r="284" customFormat="false" ht="12.75" hidden="false" customHeight="false" outlineLevel="0" collapsed="false">
      <c r="A284" s="167" t="e">
        <f aca="false">([1]!edate,A283,1)</f>
        <v>#VALUE!</v>
      </c>
      <c r="B284" s="201" t="e">
        <f aca="false">A285-A284</f>
        <v>#VALUE!</v>
      </c>
      <c r="C284" s="202" t="e">
        <f aca="false">IF(Control!$F$18="Physical",Model!A285+24,Model!A285)</f>
        <v>#VALUE!</v>
      </c>
      <c r="E284" s="203" t="e">
        <f aca="false">IF($A284&lt;End_Date,IF(Control!$C$20="Flat",Control!$C$21,VLOOKUP(Model!$A284,Euro!$B$29:$D$182,3)),0)</f>
        <v>#VALUE!</v>
      </c>
      <c r="F284" s="203" t="e">
        <f aca="false">E284*B284</f>
        <v>#VALUE!</v>
      </c>
      <c r="H284" s="204" t="e">
        <f aca="false">IF(Control!$C$27="Mid",VLOOKUP($A284,CurveFetch!$D$8:$F$367,3),VLOOKUP($A284,Euro!$B$29:$I$182,8))</f>
        <v>#VALUE!</v>
      </c>
      <c r="I284" s="204"/>
      <c r="J284" s="204" t="e">
        <f aca="false">IF($J$4="Mid",VLOOKUP($A284,Curve_Fetch,VLOOKUP(Control!$AJ$10,Control!$AI$11:$AK$22,3)),VLOOKUP($A284,Euro!$B$29:$M$182,12))</f>
        <v>#VALUE!</v>
      </c>
      <c r="K284" s="205" t="e">
        <f aca="false">IF(Control!$F$18="Physical",IF($K$4="Mid",VLOOKUP($A284,Curve_Fetch,VLOOKUP(Control!$AJ$10,Control!$AI$11:$AL$22,4)),VLOOKUP($A284,Euro!$B$29:$Q$182,16)),0)</f>
        <v>#VALUE!</v>
      </c>
      <c r="L284" s="204" t="e">
        <f aca="false">SUM(J284:K284)</f>
        <v>#VALUE!</v>
      </c>
      <c r="M284" s="204"/>
      <c r="N284" s="206" t="e">
        <f aca="false">L284+H284</f>
        <v>#VALUE!</v>
      </c>
      <c r="O284" s="206" t="e">
        <f aca="false">N284+Control!$C$39</f>
        <v>#VALUE!</v>
      </c>
      <c r="P284" s="207" t="e">
        <f aca="false">VLOOKUP($A284,CurveFetch!$D$8:$E$367,2)</f>
        <v>#VALUE!</v>
      </c>
      <c r="Q284" s="208" t="e">
        <f aca="false">P284</f>
        <v>#VALUE!</v>
      </c>
      <c r="R284" s="209" t="e">
        <f aca="true">A284-1-TODAY()</f>
        <v>#VALUE!</v>
      </c>
      <c r="S284" s="210" t="e">
        <f aca="false">VLOOKUP($A284,Curve_Fetch,VLOOKUP(Control!$AJ$10,Control!$AI$11:$AM$22,5))</f>
        <v>#VALUE!</v>
      </c>
      <c r="T284" s="211" t="e">
        <f aca="false">EURO(N284,O284,P284,Q284,S284,R284,IF(Control!$C$38="Call",1,0),0)</f>
        <v>#NAME?</v>
      </c>
      <c r="U284" s="174" t="e">
        <f aca="false">T284*B284*E284</f>
        <v>#VALUE!</v>
      </c>
      <c r="V284" s="224"/>
      <c r="W284" s="213"/>
      <c r="X284" s="213"/>
      <c r="Y284" s="213"/>
      <c r="AA284" s="214"/>
      <c r="AB284" s="214"/>
      <c r="AC284" s="215"/>
      <c r="AD284" s="216"/>
      <c r="AE284" s="217"/>
      <c r="AF284" s="218"/>
      <c r="AG284" s="219"/>
      <c r="AH284" s="220"/>
      <c r="AI284" s="174"/>
      <c r="AJ284" s="171" t="e">
        <f aca="false">Y284-L284</f>
        <v>#VALUE!</v>
      </c>
      <c r="AL284" s="208" t="e">
        <f aca="false">VLOOKUP($C284,Curve_Fetch,2)+Cost_of_Funds</f>
        <v>#VALUE!</v>
      </c>
      <c r="AM284" s="210" t="e">
        <f aca="false">1/(1+AL284/2)^(2*(C284-Val_Date)/365.25)</f>
        <v>#VALUE!</v>
      </c>
      <c r="AO284" s="222" t="e">
        <f aca="false">$B284*$E284*$AM284</f>
        <v>#VALUE!</v>
      </c>
      <c r="AP284" s="222"/>
      <c r="AQ284" s="222" t="e">
        <f aca="false">H284*AO284</f>
        <v>#VALUE!</v>
      </c>
      <c r="AR284" s="222"/>
      <c r="AS284" s="174" t="e">
        <f aca="false">J284*$AO284</f>
        <v>#VALUE!</v>
      </c>
      <c r="AT284" s="174" t="e">
        <f aca="false">K284*$AO284</f>
        <v>#VALUE!</v>
      </c>
      <c r="AU284" s="174" t="e">
        <f aca="false">L284*$AO284</f>
        <v>#VALUE!</v>
      </c>
      <c r="AV284" s="174"/>
      <c r="AW284" s="174"/>
      <c r="AY284" s="220"/>
      <c r="AZ284" s="220"/>
      <c r="BA284" s="223"/>
      <c r="BC284" s="220"/>
      <c r="BE284" s="206"/>
    </row>
    <row r="285" customFormat="false" ht="12.75" hidden="false" customHeight="false" outlineLevel="0" collapsed="false">
      <c r="A285" s="167" t="e">
        <f aca="false">([1]!edate,A284,1)</f>
        <v>#VALUE!</v>
      </c>
      <c r="B285" s="201" t="e">
        <f aca="false">A286-A285</f>
        <v>#VALUE!</v>
      </c>
      <c r="C285" s="202" t="e">
        <f aca="false">IF(Control!$F$18="Physical",Model!A286+24,Model!A286)</f>
        <v>#VALUE!</v>
      </c>
      <c r="E285" s="203" t="e">
        <f aca="false">IF($A285&lt;End_Date,IF(Control!$C$20="Flat",Control!$C$21,VLOOKUP(Model!$A285,Euro!$B$29:$D$182,3)),0)</f>
        <v>#VALUE!</v>
      </c>
      <c r="F285" s="203" t="e">
        <f aca="false">E285*B285</f>
        <v>#VALUE!</v>
      </c>
      <c r="H285" s="204" t="e">
        <f aca="false">IF(Control!$C$27="Mid",VLOOKUP($A285,CurveFetch!$D$8:$F$367,3),VLOOKUP($A285,Euro!$B$29:$I$182,8))</f>
        <v>#VALUE!</v>
      </c>
      <c r="I285" s="204"/>
      <c r="J285" s="204" t="e">
        <f aca="false">IF($J$4="Mid",VLOOKUP($A285,Curve_Fetch,VLOOKUP(Control!$AJ$10,Control!$AI$11:$AK$22,3)),VLOOKUP($A285,Euro!$B$29:$M$182,12))</f>
        <v>#VALUE!</v>
      </c>
      <c r="K285" s="205" t="e">
        <f aca="false">IF(Control!$F$18="Physical",IF($K$4="Mid",VLOOKUP($A285,Curve_Fetch,VLOOKUP(Control!$AJ$10,Control!$AI$11:$AL$22,4)),VLOOKUP($A285,Euro!$B$29:$Q$182,16)),0)</f>
        <v>#VALUE!</v>
      </c>
      <c r="L285" s="204" t="e">
        <f aca="false">SUM(J285:K285)</f>
        <v>#VALUE!</v>
      </c>
      <c r="M285" s="204"/>
      <c r="N285" s="206" t="e">
        <f aca="false">L285+H285</f>
        <v>#VALUE!</v>
      </c>
      <c r="O285" s="206" t="e">
        <f aca="false">N285+Control!$C$39</f>
        <v>#VALUE!</v>
      </c>
      <c r="P285" s="207" t="e">
        <f aca="false">VLOOKUP($A285,CurveFetch!$D$8:$E$367,2)</f>
        <v>#VALUE!</v>
      </c>
      <c r="Q285" s="208" t="e">
        <f aca="false">P285</f>
        <v>#VALUE!</v>
      </c>
      <c r="R285" s="209" t="e">
        <f aca="true">A285-1-TODAY()</f>
        <v>#VALUE!</v>
      </c>
      <c r="S285" s="210" t="e">
        <f aca="false">VLOOKUP($A285,Curve_Fetch,VLOOKUP(Control!$AJ$10,Control!$AI$11:$AM$22,5))</f>
        <v>#VALUE!</v>
      </c>
      <c r="T285" s="211" t="e">
        <f aca="false">EURO(N285,O285,P285,Q285,S285,R285,IF(Control!$C$38="Call",1,0),0)</f>
        <v>#NAME?</v>
      </c>
      <c r="U285" s="174" t="e">
        <f aca="false">T285*B285*E285</f>
        <v>#VALUE!</v>
      </c>
      <c r="V285" s="224"/>
      <c r="W285" s="213"/>
      <c r="X285" s="213"/>
      <c r="Y285" s="213"/>
      <c r="AA285" s="214"/>
      <c r="AB285" s="214"/>
      <c r="AC285" s="215"/>
      <c r="AD285" s="216"/>
      <c r="AE285" s="217"/>
      <c r="AF285" s="218"/>
      <c r="AG285" s="219"/>
      <c r="AH285" s="220"/>
      <c r="AI285" s="174"/>
      <c r="AJ285" s="171" t="e">
        <f aca="false">Y285-L285</f>
        <v>#VALUE!</v>
      </c>
      <c r="AL285" s="208" t="e">
        <f aca="false">VLOOKUP($C285,Curve_Fetch,2)+Cost_of_Funds</f>
        <v>#VALUE!</v>
      </c>
      <c r="AM285" s="210" t="e">
        <f aca="false">1/(1+AL285/2)^(2*(C285-Val_Date)/365.25)</f>
        <v>#VALUE!</v>
      </c>
      <c r="AO285" s="222" t="e">
        <f aca="false">$B285*$E285*$AM285</f>
        <v>#VALUE!</v>
      </c>
      <c r="AP285" s="222"/>
      <c r="AQ285" s="222" t="e">
        <f aca="false">H285*AO285</f>
        <v>#VALUE!</v>
      </c>
      <c r="AR285" s="222"/>
      <c r="AS285" s="174" t="e">
        <f aca="false">J285*$AO285</f>
        <v>#VALUE!</v>
      </c>
      <c r="AT285" s="174" t="e">
        <f aca="false">K285*$AO285</f>
        <v>#VALUE!</v>
      </c>
      <c r="AU285" s="174" t="e">
        <f aca="false">L285*$AO285</f>
        <v>#VALUE!</v>
      </c>
      <c r="AV285" s="174"/>
      <c r="AW285" s="174"/>
      <c r="AY285" s="220"/>
      <c r="AZ285" s="220"/>
      <c r="BA285" s="223"/>
      <c r="BC285" s="220"/>
      <c r="BE285" s="206"/>
    </row>
    <row r="286" customFormat="false" ht="12.75" hidden="false" customHeight="false" outlineLevel="0" collapsed="false">
      <c r="A286" s="167" t="e">
        <f aca="false">([1]!edate,A285,1)</f>
        <v>#VALUE!</v>
      </c>
      <c r="B286" s="201" t="e">
        <f aca="false">A287-A286</f>
        <v>#VALUE!</v>
      </c>
      <c r="C286" s="202" t="e">
        <f aca="false">IF(Control!$F$18="Physical",Model!A287+24,Model!A287)</f>
        <v>#VALUE!</v>
      </c>
      <c r="E286" s="203" t="e">
        <f aca="false">IF($A286&lt;End_Date,IF(Control!$C$20="Flat",Control!$C$21,VLOOKUP(Model!$A286,Euro!$B$29:$D$182,3)),0)</f>
        <v>#VALUE!</v>
      </c>
      <c r="F286" s="203" t="e">
        <f aca="false">E286*B286</f>
        <v>#VALUE!</v>
      </c>
      <c r="H286" s="204" t="e">
        <f aca="false">IF(Control!$C$27="Mid",VLOOKUP($A286,CurveFetch!$D$8:$F$367,3),VLOOKUP($A286,Euro!$B$29:$I$182,8))</f>
        <v>#VALUE!</v>
      </c>
      <c r="I286" s="204"/>
      <c r="J286" s="204" t="e">
        <f aca="false">IF($J$4="Mid",VLOOKUP($A286,Curve_Fetch,VLOOKUP(Control!$AJ$10,Control!$AI$11:$AK$22,3)),VLOOKUP($A286,Euro!$B$29:$M$182,12))</f>
        <v>#VALUE!</v>
      </c>
      <c r="K286" s="205" t="e">
        <f aca="false">IF(Control!$F$18="Physical",IF($K$4="Mid",VLOOKUP($A286,Curve_Fetch,VLOOKUP(Control!$AJ$10,Control!$AI$11:$AL$22,4)),VLOOKUP($A286,Euro!$B$29:$Q$182,16)),0)</f>
        <v>#VALUE!</v>
      </c>
      <c r="L286" s="204" t="e">
        <f aca="false">SUM(J286:K286)</f>
        <v>#VALUE!</v>
      </c>
      <c r="M286" s="204"/>
      <c r="N286" s="206" t="e">
        <f aca="false">L286+H286</f>
        <v>#VALUE!</v>
      </c>
      <c r="O286" s="206" t="e">
        <f aca="false">N286+Control!$C$39</f>
        <v>#VALUE!</v>
      </c>
      <c r="P286" s="207" t="e">
        <f aca="false">VLOOKUP($A286,CurveFetch!$D$8:$E$367,2)</f>
        <v>#VALUE!</v>
      </c>
      <c r="Q286" s="208" t="e">
        <f aca="false">P286</f>
        <v>#VALUE!</v>
      </c>
      <c r="R286" s="209" t="e">
        <f aca="true">A286-1-TODAY()</f>
        <v>#VALUE!</v>
      </c>
      <c r="S286" s="210" t="e">
        <f aca="false">VLOOKUP($A286,Curve_Fetch,VLOOKUP(Control!$AJ$10,Control!$AI$11:$AM$22,5))</f>
        <v>#VALUE!</v>
      </c>
      <c r="T286" s="211" t="e">
        <f aca="false">EURO(N286,O286,P286,Q286,S286,R286,IF(Control!$C$38="Call",1,0),0)</f>
        <v>#NAME?</v>
      </c>
      <c r="U286" s="174" t="e">
        <f aca="false">T286*B286*E286</f>
        <v>#VALUE!</v>
      </c>
      <c r="V286" s="224"/>
      <c r="W286" s="213"/>
      <c r="X286" s="213"/>
      <c r="Y286" s="213"/>
      <c r="AA286" s="214"/>
      <c r="AB286" s="214"/>
      <c r="AC286" s="215"/>
      <c r="AD286" s="216"/>
      <c r="AE286" s="217"/>
      <c r="AF286" s="218"/>
      <c r="AG286" s="219"/>
      <c r="AH286" s="220"/>
      <c r="AI286" s="174"/>
      <c r="AJ286" s="171" t="e">
        <f aca="false">Y286-L286</f>
        <v>#VALUE!</v>
      </c>
      <c r="AL286" s="208" t="e">
        <f aca="false">VLOOKUP($C286,Curve_Fetch,2)+Cost_of_Funds</f>
        <v>#VALUE!</v>
      </c>
      <c r="AM286" s="210" t="e">
        <f aca="false">1/(1+AL286/2)^(2*(C286-Val_Date)/365.25)</f>
        <v>#VALUE!</v>
      </c>
      <c r="AO286" s="222" t="e">
        <f aca="false">$B286*$E286*$AM286</f>
        <v>#VALUE!</v>
      </c>
      <c r="AP286" s="222"/>
      <c r="AQ286" s="222" t="e">
        <f aca="false">H286*AO286</f>
        <v>#VALUE!</v>
      </c>
      <c r="AR286" s="222"/>
      <c r="AS286" s="174" t="e">
        <f aca="false">J286*$AO286</f>
        <v>#VALUE!</v>
      </c>
      <c r="AT286" s="174" t="e">
        <f aca="false">K286*$AO286</f>
        <v>#VALUE!</v>
      </c>
      <c r="AU286" s="174" t="e">
        <f aca="false">L286*$AO286</f>
        <v>#VALUE!</v>
      </c>
      <c r="AV286" s="174"/>
      <c r="AW286" s="174"/>
      <c r="AY286" s="220"/>
      <c r="AZ286" s="220"/>
      <c r="BA286" s="223"/>
      <c r="BC286" s="220"/>
      <c r="BE286" s="206"/>
    </row>
    <row r="287" customFormat="false" ht="12.75" hidden="false" customHeight="false" outlineLevel="0" collapsed="false">
      <c r="A287" s="167" t="e">
        <f aca="false">([1]!edate,A286,1)</f>
        <v>#VALUE!</v>
      </c>
      <c r="B287" s="201" t="e">
        <f aca="false">A288-A287</f>
        <v>#VALUE!</v>
      </c>
      <c r="C287" s="202" t="e">
        <f aca="false">IF(Control!$F$18="Physical",Model!A288+24,Model!A288)</f>
        <v>#VALUE!</v>
      </c>
      <c r="E287" s="203" t="e">
        <f aca="false">IF($A287&lt;End_Date,IF(Control!$C$20="Flat",Control!$C$21,VLOOKUP(Model!$A287,Euro!$B$29:$D$182,3)),0)</f>
        <v>#VALUE!</v>
      </c>
      <c r="F287" s="203" t="e">
        <f aca="false">E287*B287</f>
        <v>#VALUE!</v>
      </c>
      <c r="H287" s="204" t="e">
        <f aca="false">IF(Control!$C$27="Mid",VLOOKUP($A287,CurveFetch!$D$8:$F$367,3),VLOOKUP($A287,Euro!$B$29:$I$182,8))</f>
        <v>#VALUE!</v>
      </c>
      <c r="I287" s="204"/>
      <c r="J287" s="204" t="e">
        <f aca="false">IF($J$4="Mid",VLOOKUP($A287,Curve_Fetch,VLOOKUP(Control!$AJ$10,Control!$AI$11:$AK$22,3)),VLOOKUP($A287,Euro!$B$29:$M$182,12))</f>
        <v>#VALUE!</v>
      </c>
      <c r="K287" s="205" t="e">
        <f aca="false">IF(Control!$F$18="Physical",IF($K$4="Mid",VLOOKUP($A287,Curve_Fetch,VLOOKUP(Control!$AJ$10,Control!$AI$11:$AL$22,4)),VLOOKUP($A287,Euro!$B$29:$Q$182,16)),0)</f>
        <v>#VALUE!</v>
      </c>
      <c r="L287" s="204" t="e">
        <f aca="false">SUM(J287:K287)</f>
        <v>#VALUE!</v>
      </c>
      <c r="M287" s="204"/>
      <c r="N287" s="206" t="e">
        <f aca="false">L287+H287</f>
        <v>#VALUE!</v>
      </c>
      <c r="O287" s="206" t="e">
        <f aca="false">N287+Control!$C$39</f>
        <v>#VALUE!</v>
      </c>
      <c r="P287" s="207" t="e">
        <f aca="false">VLOOKUP($A287,CurveFetch!$D$8:$E$367,2)</f>
        <v>#VALUE!</v>
      </c>
      <c r="Q287" s="208" t="e">
        <f aca="false">P287</f>
        <v>#VALUE!</v>
      </c>
      <c r="R287" s="209" t="e">
        <f aca="true">A287-1-TODAY()</f>
        <v>#VALUE!</v>
      </c>
      <c r="S287" s="210" t="e">
        <f aca="false">VLOOKUP($A287,Curve_Fetch,VLOOKUP(Control!$AJ$10,Control!$AI$11:$AM$22,5))</f>
        <v>#VALUE!</v>
      </c>
      <c r="T287" s="211" t="e">
        <f aca="false">EURO(N287,O287,P287,Q287,S287,R287,IF(Control!$C$38="Call",1,0),0)</f>
        <v>#NAME?</v>
      </c>
      <c r="U287" s="174" t="e">
        <f aca="false">T287*B287*E287</f>
        <v>#VALUE!</v>
      </c>
      <c r="V287" s="224"/>
      <c r="W287" s="213"/>
      <c r="X287" s="213"/>
      <c r="Y287" s="213"/>
      <c r="AA287" s="214"/>
      <c r="AB287" s="214"/>
      <c r="AC287" s="215"/>
      <c r="AD287" s="216"/>
      <c r="AE287" s="217"/>
      <c r="AF287" s="218"/>
      <c r="AG287" s="219"/>
      <c r="AH287" s="220"/>
      <c r="AI287" s="174"/>
      <c r="AJ287" s="171" t="e">
        <f aca="false">Y287-L287</f>
        <v>#VALUE!</v>
      </c>
      <c r="AL287" s="208" t="e">
        <f aca="false">VLOOKUP($C287,Curve_Fetch,2)+Cost_of_Funds</f>
        <v>#VALUE!</v>
      </c>
      <c r="AM287" s="210" t="e">
        <f aca="false">1/(1+AL287/2)^(2*(C287-Val_Date)/365.25)</f>
        <v>#VALUE!</v>
      </c>
      <c r="AO287" s="222" t="e">
        <f aca="false">$B287*$E287*$AM287</f>
        <v>#VALUE!</v>
      </c>
      <c r="AP287" s="222"/>
      <c r="AQ287" s="222" t="e">
        <f aca="false">H287*AO287</f>
        <v>#VALUE!</v>
      </c>
      <c r="AR287" s="222"/>
      <c r="AS287" s="174" t="e">
        <f aca="false">J287*$AO287</f>
        <v>#VALUE!</v>
      </c>
      <c r="AT287" s="174" t="e">
        <f aca="false">K287*$AO287</f>
        <v>#VALUE!</v>
      </c>
      <c r="AU287" s="174" t="e">
        <f aca="false">L287*$AO287</f>
        <v>#VALUE!</v>
      </c>
      <c r="AV287" s="174"/>
      <c r="AW287" s="174"/>
      <c r="AY287" s="220"/>
      <c r="AZ287" s="220"/>
      <c r="BA287" s="223"/>
      <c r="BC287" s="220"/>
      <c r="BE287" s="206"/>
    </row>
    <row r="288" customFormat="false" ht="12.75" hidden="false" customHeight="false" outlineLevel="0" collapsed="false">
      <c r="A288" s="167" t="e">
        <f aca="false">([1]!edate,A287,1)</f>
        <v>#VALUE!</v>
      </c>
      <c r="B288" s="201" t="e">
        <f aca="false">A289-A288</f>
        <v>#VALUE!</v>
      </c>
      <c r="C288" s="202" t="e">
        <f aca="false">IF(Control!$F$18="Physical",Model!A289+24,Model!A289)</f>
        <v>#VALUE!</v>
      </c>
      <c r="E288" s="203" t="e">
        <f aca="false">IF($A288&lt;End_Date,IF(Control!$C$20="Flat",Control!$C$21,VLOOKUP(Model!$A288,Euro!$B$29:$D$182,3)),0)</f>
        <v>#VALUE!</v>
      </c>
      <c r="F288" s="203" t="e">
        <f aca="false">E288*B288</f>
        <v>#VALUE!</v>
      </c>
      <c r="H288" s="204" t="e">
        <f aca="false">IF(Control!$C$27="Mid",VLOOKUP($A288,CurveFetch!$D$8:$F$367,3),VLOOKUP($A288,Euro!$B$29:$I$182,8))</f>
        <v>#VALUE!</v>
      </c>
      <c r="I288" s="204"/>
      <c r="J288" s="204" t="e">
        <f aca="false">IF($J$4="Mid",VLOOKUP($A288,Curve_Fetch,VLOOKUP(Control!$AJ$10,Control!$AI$11:$AK$22,3)),VLOOKUP($A288,Euro!$B$29:$M$182,12))</f>
        <v>#VALUE!</v>
      </c>
      <c r="K288" s="205" t="e">
        <f aca="false">IF(Control!$F$18="Physical",IF($K$4="Mid",VLOOKUP($A288,Curve_Fetch,VLOOKUP(Control!$AJ$10,Control!$AI$11:$AL$22,4)),VLOOKUP($A288,Euro!$B$29:$Q$182,16)),0)</f>
        <v>#VALUE!</v>
      </c>
      <c r="L288" s="204" t="e">
        <f aca="false">SUM(J288:K288)</f>
        <v>#VALUE!</v>
      </c>
      <c r="M288" s="204"/>
      <c r="N288" s="206" t="e">
        <f aca="false">L288+H288</f>
        <v>#VALUE!</v>
      </c>
      <c r="O288" s="206" t="e">
        <f aca="false">N288+Control!$C$39</f>
        <v>#VALUE!</v>
      </c>
      <c r="P288" s="207" t="e">
        <f aca="false">VLOOKUP($A288,CurveFetch!$D$8:$E$367,2)</f>
        <v>#VALUE!</v>
      </c>
      <c r="Q288" s="208" t="e">
        <f aca="false">P288</f>
        <v>#VALUE!</v>
      </c>
      <c r="R288" s="209" t="e">
        <f aca="true">A288-1-TODAY()</f>
        <v>#VALUE!</v>
      </c>
      <c r="S288" s="210" t="e">
        <f aca="false">VLOOKUP($A288,Curve_Fetch,VLOOKUP(Control!$AJ$10,Control!$AI$11:$AM$22,5))</f>
        <v>#VALUE!</v>
      </c>
      <c r="T288" s="211" t="e">
        <f aca="false">EURO(N288,O288,P288,Q288,S288,R288,IF(Control!$C$38="Call",1,0),0)</f>
        <v>#NAME?</v>
      </c>
      <c r="U288" s="174" t="e">
        <f aca="false">T288*B288*E288</f>
        <v>#VALUE!</v>
      </c>
      <c r="V288" s="224"/>
      <c r="W288" s="213"/>
      <c r="X288" s="213"/>
      <c r="Y288" s="213"/>
      <c r="AA288" s="214"/>
      <c r="AB288" s="214"/>
      <c r="AC288" s="215"/>
      <c r="AD288" s="216"/>
      <c r="AE288" s="217"/>
      <c r="AF288" s="218"/>
      <c r="AG288" s="219"/>
      <c r="AH288" s="220"/>
      <c r="AI288" s="174"/>
      <c r="AJ288" s="171" t="e">
        <f aca="false">Y288-L288</f>
        <v>#VALUE!</v>
      </c>
      <c r="AL288" s="208" t="e">
        <f aca="false">VLOOKUP($C288,Curve_Fetch,2)+Cost_of_Funds</f>
        <v>#VALUE!</v>
      </c>
      <c r="AM288" s="210" t="e">
        <f aca="false">1/(1+AL288/2)^(2*(C288-Val_Date)/365.25)</f>
        <v>#VALUE!</v>
      </c>
      <c r="AO288" s="222" t="e">
        <f aca="false">$B288*$E288*$AM288</f>
        <v>#VALUE!</v>
      </c>
      <c r="AP288" s="222"/>
      <c r="AQ288" s="222" t="e">
        <f aca="false">H288*AO288</f>
        <v>#VALUE!</v>
      </c>
      <c r="AR288" s="222"/>
      <c r="AS288" s="174" t="e">
        <f aca="false">J288*$AO288</f>
        <v>#VALUE!</v>
      </c>
      <c r="AT288" s="174" t="e">
        <f aca="false">K288*$AO288</f>
        <v>#VALUE!</v>
      </c>
      <c r="AU288" s="174" t="e">
        <f aca="false">L288*$AO288</f>
        <v>#VALUE!</v>
      </c>
      <c r="AV288" s="174"/>
      <c r="AW288" s="174"/>
      <c r="AY288" s="220"/>
      <c r="AZ288" s="220"/>
      <c r="BA288" s="223"/>
      <c r="BC288" s="220"/>
      <c r="BE288" s="206"/>
    </row>
    <row r="289" customFormat="false" ht="12.75" hidden="false" customHeight="false" outlineLevel="0" collapsed="false">
      <c r="A289" s="167" t="e">
        <f aca="false">([1]!edate,A288,1)</f>
        <v>#VALUE!</v>
      </c>
      <c r="B289" s="201"/>
      <c r="V289" s="224"/>
    </row>
    <row r="290" customFormat="false" ht="12.75" hidden="false" customHeight="false" outlineLevel="0" collapsed="false">
      <c r="A290" s="202"/>
      <c r="B290" s="201"/>
      <c r="V290" s="224"/>
    </row>
    <row r="291" customFormat="false" ht="12.75" hidden="false" customHeight="false" outlineLevel="0" collapsed="false">
      <c r="A291" s="202"/>
      <c r="B291" s="201"/>
      <c r="V291" s="224"/>
    </row>
    <row r="292" customFormat="false" ht="12.75" hidden="false" customHeight="false" outlineLevel="0" collapsed="false">
      <c r="A292" s="202"/>
      <c r="B292" s="201"/>
      <c r="V292" s="224"/>
    </row>
    <row r="293" customFormat="false" ht="12.75" hidden="false" customHeight="false" outlineLevel="0" collapsed="false">
      <c r="A293" s="202"/>
      <c r="B293" s="201"/>
      <c r="V293" s="224"/>
    </row>
    <row r="294" customFormat="false" ht="12.75" hidden="false" customHeight="false" outlineLevel="0" collapsed="false">
      <c r="A294" s="202"/>
      <c r="B294" s="201"/>
      <c r="V294" s="224"/>
    </row>
    <row r="295" customFormat="false" ht="12.75" hidden="false" customHeight="false" outlineLevel="0" collapsed="false">
      <c r="A295" s="202"/>
      <c r="B295" s="201"/>
      <c r="V295" s="224"/>
    </row>
    <row r="296" customFormat="false" ht="12.75" hidden="false" customHeight="false" outlineLevel="0" collapsed="false">
      <c r="A296" s="202"/>
      <c r="B296" s="201"/>
      <c r="V296" s="224"/>
    </row>
    <row r="297" customFormat="false" ht="12.75" hidden="false" customHeight="false" outlineLevel="0" collapsed="false">
      <c r="A297" s="202"/>
      <c r="B297" s="201"/>
      <c r="V297" s="224"/>
    </row>
    <row r="298" customFormat="false" ht="12.75" hidden="false" customHeight="false" outlineLevel="0" collapsed="false">
      <c r="A298" s="202"/>
      <c r="B298" s="201"/>
      <c r="V298" s="224"/>
    </row>
    <row r="299" customFormat="false" ht="12.75" hidden="false" customHeight="false" outlineLevel="0" collapsed="false">
      <c r="A299" s="202"/>
      <c r="B299" s="201"/>
      <c r="V299" s="224"/>
    </row>
    <row r="300" customFormat="false" ht="12.75" hidden="false" customHeight="false" outlineLevel="0" collapsed="false">
      <c r="A300" s="202"/>
      <c r="B300" s="201"/>
      <c r="V300" s="224"/>
    </row>
    <row r="301" customFormat="false" ht="12.75" hidden="false" customHeight="false" outlineLevel="0" collapsed="false">
      <c r="A301" s="202"/>
      <c r="B301" s="201"/>
      <c r="V301" s="224"/>
    </row>
    <row r="302" customFormat="false" ht="12.75" hidden="false" customHeight="false" outlineLevel="0" collapsed="false">
      <c r="A302" s="202"/>
      <c r="B302" s="201"/>
      <c r="V302" s="224"/>
    </row>
    <row r="303" customFormat="false" ht="12.75" hidden="false" customHeight="false" outlineLevel="0" collapsed="false">
      <c r="A303" s="202"/>
      <c r="B303" s="201"/>
      <c r="V303" s="224"/>
    </row>
    <row r="304" customFormat="false" ht="12.75" hidden="false" customHeight="false" outlineLevel="0" collapsed="false">
      <c r="A304" s="202"/>
      <c r="B304" s="201"/>
      <c r="V304" s="224"/>
    </row>
    <row r="305" customFormat="false" ht="12.75" hidden="false" customHeight="false" outlineLevel="0" collapsed="false">
      <c r="A305" s="202"/>
      <c r="B305" s="201"/>
      <c r="V305" s="224"/>
    </row>
    <row r="306" customFormat="false" ht="12.75" hidden="false" customHeight="false" outlineLevel="0" collapsed="false">
      <c r="A306" s="202"/>
      <c r="B306" s="201"/>
      <c r="V306" s="224"/>
    </row>
    <row r="307" customFormat="false" ht="12.75" hidden="false" customHeight="false" outlineLevel="0" collapsed="false">
      <c r="A307" s="202"/>
      <c r="B307" s="201"/>
      <c r="V307" s="224"/>
    </row>
    <row r="308" customFormat="false" ht="12.75" hidden="false" customHeight="false" outlineLevel="0" collapsed="false">
      <c r="A308" s="202"/>
      <c r="B308" s="201"/>
      <c r="V308" s="224"/>
    </row>
    <row r="309" customFormat="false" ht="12.75" hidden="false" customHeight="false" outlineLevel="0" collapsed="false">
      <c r="A309" s="202"/>
      <c r="B309" s="201"/>
      <c r="V309" s="224"/>
    </row>
    <row r="310" customFormat="false" ht="12.75" hidden="false" customHeight="false" outlineLevel="0" collapsed="false">
      <c r="A310" s="202"/>
      <c r="B310" s="201"/>
      <c r="V310" s="224"/>
    </row>
    <row r="311" customFormat="false" ht="12.75" hidden="false" customHeight="false" outlineLevel="0" collapsed="false">
      <c r="A311" s="202"/>
      <c r="B311" s="201"/>
      <c r="V311" s="224"/>
    </row>
    <row r="312" customFormat="false" ht="12.75" hidden="false" customHeight="false" outlineLevel="0" collapsed="false">
      <c r="A312" s="202"/>
      <c r="B312" s="201"/>
      <c r="V312" s="224"/>
    </row>
    <row r="313" customFormat="false" ht="12.75" hidden="false" customHeight="false" outlineLevel="0" collapsed="false">
      <c r="A313" s="202"/>
      <c r="B313" s="201"/>
      <c r="V313" s="224"/>
    </row>
    <row r="314" customFormat="false" ht="12.75" hidden="false" customHeight="false" outlineLevel="0" collapsed="false">
      <c r="A314" s="202"/>
      <c r="B314" s="201"/>
      <c r="V314" s="224"/>
    </row>
    <row r="315" customFormat="false" ht="12.75" hidden="false" customHeight="false" outlineLevel="0" collapsed="false">
      <c r="A315" s="202"/>
      <c r="B315" s="201"/>
      <c r="V315" s="224"/>
    </row>
    <row r="316" customFormat="false" ht="12.75" hidden="false" customHeight="false" outlineLevel="0" collapsed="false">
      <c r="A316" s="202"/>
      <c r="B316" s="201"/>
      <c r="V316" s="224"/>
    </row>
    <row r="317" customFormat="false" ht="12.75" hidden="false" customHeight="false" outlineLevel="0" collapsed="false">
      <c r="A317" s="202"/>
      <c r="B317" s="201"/>
      <c r="V317" s="224"/>
    </row>
    <row r="318" customFormat="false" ht="12.75" hidden="false" customHeight="false" outlineLevel="0" collapsed="false">
      <c r="A318" s="202"/>
      <c r="B318" s="201"/>
      <c r="V318" s="224"/>
    </row>
    <row r="319" customFormat="false" ht="12.75" hidden="false" customHeight="false" outlineLevel="0" collapsed="false">
      <c r="A319" s="202"/>
      <c r="B319" s="201"/>
      <c r="V319" s="224"/>
    </row>
    <row r="320" customFormat="false" ht="12.75" hidden="false" customHeight="false" outlineLevel="0" collapsed="false">
      <c r="A320" s="202"/>
      <c r="B320" s="201"/>
    </row>
    <row r="321" customFormat="false" ht="12.75" hidden="false" customHeight="false" outlineLevel="0" collapsed="false">
      <c r="A321" s="202"/>
      <c r="B321" s="201"/>
    </row>
    <row r="322" customFormat="false" ht="12.75" hidden="false" customHeight="false" outlineLevel="0" collapsed="false">
      <c r="A322" s="202"/>
      <c r="B322" s="201"/>
    </row>
    <row r="323" customFormat="false" ht="12.75" hidden="false" customHeight="false" outlineLevel="0" collapsed="false">
      <c r="A323" s="202"/>
      <c r="B323" s="201"/>
    </row>
    <row r="324" customFormat="false" ht="12.75" hidden="false" customHeight="false" outlineLevel="0" collapsed="false">
      <c r="A324" s="202"/>
      <c r="B324" s="201"/>
    </row>
    <row r="325" customFormat="false" ht="12.75" hidden="false" customHeight="false" outlineLevel="0" collapsed="false">
      <c r="A325" s="202"/>
      <c r="B325" s="201"/>
    </row>
    <row r="326" customFormat="false" ht="12.75" hidden="false" customHeight="false" outlineLevel="0" collapsed="false">
      <c r="A326" s="202"/>
      <c r="B326" s="201"/>
    </row>
    <row r="327" customFormat="false" ht="12.75" hidden="false" customHeight="false" outlineLevel="0" collapsed="false">
      <c r="A327" s="202"/>
      <c r="B327" s="201"/>
    </row>
    <row r="328" customFormat="false" ht="12.75" hidden="false" customHeight="false" outlineLevel="0" collapsed="false">
      <c r="A328" s="202"/>
      <c r="B328" s="201"/>
    </row>
    <row r="329" customFormat="false" ht="12.75" hidden="false" customHeight="false" outlineLevel="0" collapsed="false">
      <c r="A329" s="202"/>
      <c r="B329" s="201"/>
    </row>
    <row r="330" customFormat="false" ht="12.75" hidden="false" customHeight="false" outlineLevel="0" collapsed="false">
      <c r="A330" s="202"/>
      <c r="B330" s="201"/>
    </row>
    <row r="331" customFormat="false" ht="12.75" hidden="false" customHeight="false" outlineLevel="0" collapsed="false">
      <c r="A331" s="202"/>
      <c r="B331" s="201"/>
    </row>
    <row r="332" customFormat="false" ht="12.75" hidden="false" customHeight="false" outlineLevel="0" collapsed="false">
      <c r="A332" s="202"/>
      <c r="B332" s="201"/>
    </row>
  </sheetData>
  <conditionalFormatting sqref="A8:A289">
    <cfRule type="expression" priority="2" aboveAverage="0" equalAverage="0" bottom="0" percent="0" rank="0" text="" dxfId="23">
      <formula>OR(MONTH($A8)=11,MONTH($A8)=12,MONTH($A8)=1,MONTH($A8)=2,MONTH($A8)=3)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F8" activeCellId="0" sqref="F8:F3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5" width="6.28"/>
    <col collapsed="false" customWidth="true" hidden="false" outlineLevel="0" max="2" min="2" style="225" width="16.13"/>
    <col collapsed="false" customWidth="false" hidden="false" outlineLevel="0" max="3" min="3" style="225" width="9.14"/>
    <col collapsed="false" customWidth="true" hidden="false" outlineLevel="0" max="4" min="4" style="226" width="12.7"/>
    <col collapsed="false" customWidth="true" hidden="false" outlineLevel="0" max="5" min="5" style="227" width="12.7"/>
    <col collapsed="false" customWidth="true" hidden="false" outlineLevel="0" max="13" min="6" style="227" width="16.7"/>
    <col collapsed="false" customWidth="true" hidden="false" outlineLevel="0" max="22" min="14" style="227" width="18.7"/>
    <col collapsed="false" customWidth="true" hidden="false" outlineLevel="0" max="24" min="23" style="227" width="12.7"/>
    <col collapsed="false" customWidth="true" hidden="false" outlineLevel="0" max="28" min="25" style="227" width="16.7"/>
    <col collapsed="false" customWidth="true" hidden="false" outlineLevel="0" max="29" min="29" style="227" width="14.7"/>
    <col collapsed="false" customWidth="true" hidden="false" outlineLevel="0" max="30" min="30" style="226" width="14.7"/>
    <col collapsed="false" customWidth="true" hidden="false" outlineLevel="0" max="36" min="31" style="227" width="14.7"/>
    <col collapsed="false" customWidth="false" hidden="false" outlineLevel="0" max="52" min="37" style="227" width="9.14"/>
    <col collapsed="false" customWidth="false" hidden="false" outlineLevel="0" max="257" min="53" style="225" width="9.14"/>
  </cols>
  <sheetData>
    <row r="1" customFormat="false" ht="12.75" hidden="false" customHeight="false" outlineLevel="0" collapsed="false">
      <c r="D1" s="225"/>
      <c r="E1" s="225" t="n">
        <v>1</v>
      </c>
      <c r="F1" s="228" t="n">
        <f aca="false">E1+1</f>
        <v>2</v>
      </c>
      <c r="G1" s="228" t="n">
        <f aca="false">F1+1</f>
        <v>3</v>
      </c>
      <c r="H1" s="228" t="n">
        <f aca="false">G1+1</f>
        <v>4</v>
      </c>
      <c r="I1" s="228" t="n">
        <f aca="false">H1+1</f>
        <v>5</v>
      </c>
      <c r="J1" s="228" t="n">
        <f aca="false">I1+1</f>
        <v>6</v>
      </c>
      <c r="K1" s="228" t="n">
        <f aca="false">J1+1</f>
        <v>7</v>
      </c>
      <c r="L1" s="228" t="n">
        <f aca="false">K1+1</f>
        <v>8</v>
      </c>
      <c r="M1" s="228" t="n">
        <f aca="false">L1+1</f>
        <v>9</v>
      </c>
      <c r="N1" s="228" t="n">
        <f aca="false">M1+1</f>
        <v>10</v>
      </c>
      <c r="O1" s="228" t="n">
        <f aca="false">N1+1</f>
        <v>11</v>
      </c>
      <c r="P1" s="228" t="n">
        <f aca="false">O1+1</f>
        <v>12</v>
      </c>
      <c r="Q1" s="228" t="n">
        <f aca="false">P1+1</f>
        <v>13</v>
      </c>
      <c r="R1" s="228" t="n">
        <f aca="false">Q1+1</f>
        <v>14</v>
      </c>
      <c r="S1" s="228" t="n">
        <f aca="false">R1+1</f>
        <v>15</v>
      </c>
      <c r="T1" s="228" t="n">
        <f aca="false">S1+1</f>
        <v>16</v>
      </c>
      <c r="U1" s="228" t="n">
        <f aca="false">T1+1</f>
        <v>17</v>
      </c>
      <c r="V1" s="228" t="n">
        <f aca="false">U1+1</f>
        <v>18</v>
      </c>
      <c r="W1" s="228" t="n">
        <f aca="false">V1+1</f>
        <v>19</v>
      </c>
      <c r="X1" s="228" t="n">
        <f aca="false">W1+1</f>
        <v>20</v>
      </c>
      <c r="Y1" s="228" t="n">
        <f aca="false">X1+1</f>
        <v>21</v>
      </c>
      <c r="Z1" s="228" t="n">
        <f aca="false">Y1+1</f>
        <v>22</v>
      </c>
      <c r="AA1" s="228" t="n">
        <f aca="false">Z1+1</f>
        <v>23</v>
      </c>
      <c r="AB1" s="228" t="n">
        <f aca="false">AA1+1</f>
        <v>24</v>
      </c>
      <c r="AC1" s="228" t="n">
        <f aca="false">AB1+1</f>
        <v>25</v>
      </c>
      <c r="AD1" s="228" t="n">
        <f aca="false">AC1+1</f>
        <v>26</v>
      </c>
      <c r="AE1" s="228" t="n">
        <f aca="false">AD1+1</f>
        <v>27</v>
      </c>
      <c r="AF1" s="228" t="n">
        <f aca="false">AE1+1</f>
        <v>28</v>
      </c>
      <c r="AG1" s="228" t="n">
        <f aca="false">AF1+1</f>
        <v>29</v>
      </c>
      <c r="AH1" s="228" t="n">
        <f aca="false">AG1+1</f>
        <v>30</v>
      </c>
      <c r="AI1" s="228" t="n">
        <f aca="false">AH1+1</f>
        <v>31</v>
      </c>
      <c r="AJ1" s="228" t="n">
        <f aca="false">AI1+1</f>
        <v>32</v>
      </c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</row>
    <row r="2" customFormat="false" ht="12.75" hidden="false" customHeight="false" outlineLevel="0" collapsed="false">
      <c r="B2" s="229" t="n">
        <f aca="false">HLOOKUP(Count,CurveTable,2,FALSE())</f>
        <v>37196</v>
      </c>
      <c r="D2" s="230" t="s">
        <v>128</v>
      </c>
      <c r="E2" s="231" t="n">
        <f aca="false">Control!C25</f>
        <v>37196</v>
      </c>
      <c r="F2" s="232" t="n">
        <f aca="false">E2</f>
        <v>37196</v>
      </c>
      <c r="G2" s="232" t="n">
        <f aca="false">F2</f>
        <v>37196</v>
      </c>
      <c r="H2" s="232" t="n">
        <f aca="false">G2</f>
        <v>37196</v>
      </c>
      <c r="I2" s="232" t="n">
        <f aca="false">H2</f>
        <v>37196</v>
      </c>
      <c r="J2" s="232" t="n">
        <f aca="false">I2</f>
        <v>37196</v>
      </c>
      <c r="K2" s="232" t="n">
        <f aca="false">J2</f>
        <v>37196</v>
      </c>
      <c r="L2" s="232" t="n">
        <f aca="false">K2</f>
        <v>37196</v>
      </c>
      <c r="M2" s="232" t="n">
        <f aca="false">L2</f>
        <v>37196</v>
      </c>
      <c r="N2" s="232" t="n">
        <f aca="false">M2</f>
        <v>37196</v>
      </c>
      <c r="O2" s="232" t="n">
        <f aca="false">N2</f>
        <v>37196</v>
      </c>
      <c r="P2" s="232" t="n">
        <f aca="false">O2</f>
        <v>37196</v>
      </c>
      <c r="Q2" s="232" t="n">
        <f aca="false">P2</f>
        <v>37196</v>
      </c>
      <c r="R2" s="232" t="n">
        <f aca="false">Q2</f>
        <v>37196</v>
      </c>
      <c r="S2" s="232" t="n">
        <f aca="false">R2</f>
        <v>37196</v>
      </c>
      <c r="T2" s="232" t="n">
        <f aca="false">S2</f>
        <v>37196</v>
      </c>
      <c r="U2" s="232" t="n">
        <f aca="false">T2</f>
        <v>37196</v>
      </c>
      <c r="V2" s="232" t="n">
        <f aca="false">U2</f>
        <v>37196</v>
      </c>
      <c r="W2" s="232" t="n">
        <f aca="false">V2</f>
        <v>37196</v>
      </c>
      <c r="X2" s="232" t="n">
        <f aca="false">W2</f>
        <v>37196</v>
      </c>
      <c r="Y2" s="232" t="n">
        <f aca="false">X2</f>
        <v>37196</v>
      </c>
      <c r="Z2" s="232" t="n">
        <f aca="false">Y2</f>
        <v>37196</v>
      </c>
      <c r="AA2" s="232" t="n">
        <f aca="false">Z2</f>
        <v>37196</v>
      </c>
      <c r="AB2" s="232" t="n">
        <f aca="false">AA2</f>
        <v>37196</v>
      </c>
      <c r="AC2" s="232" t="n">
        <f aca="false">AB2</f>
        <v>37196</v>
      </c>
      <c r="AD2" s="232" t="n">
        <f aca="false">AC2</f>
        <v>37196</v>
      </c>
      <c r="AE2" s="232" t="n">
        <f aca="false">AD2</f>
        <v>37196</v>
      </c>
      <c r="AF2" s="232" t="n">
        <f aca="false">AE2</f>
        <v>37196</v>
      </c>
      <c r="AG2" s="232" t="n">
        <f aca="false">AF2</f>
        <v>37196</v>
      </c>
      <c r="AH2" s="232" t="n">
        <f aca="false">AG2</f>
        <v>37196</v>
      </c>
      <c r="AI2" s="232" t="n">
        <f aca="false">AH2</f>
        <v>37196</v>
      </c>
      <c r="AJ2" s="232" t="n">
        <f aca="false">AI2</f>
        <v>37196</v>
      </c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</row>
    <row r="3" customFormat="false" ht="12.75" hidden="false" customHeight="false" outlineLevel="0" collapsed="false">
      <c r="B3" s="233" t="n">
        <f aca="false">HLOOKUP(Count,CurveTable,3,FALSE())</f>
        <v>37226</v>
      </c>
      <c r="D3" s="230" t="s">
        <v>129</v>
      </c>
      <c r="E3" s="233" t="n">
        <f aca="false">EOMONTH(E2,0)+1</f>
        <v>37226</v>
      </c>
      <c r="F3" s="233" t="n">
        <f aca="false">E3</f>
        <v>37226</v>
      </c>
      <c r="G3" s="233" t="n">
        <f aca="false">F3</f>
        <v>37226</v>
      </c>
      <c r="H3" s="233" t="n">
        <f aca="false">G3</f>
        <v>37226</v>
      </c>
      <c r="I3" s="233" t="n">
        <f aca="false">H3</f>
        <v>37226</v>
      </c>
      <c r="J3" s="233" t="n">
        <f aca="false">I3</f>
        <v>37226</v>
      </c>
      <c r="K3" s="233" t="n">
        <f aca="false">J3</f>
        <v>37226</v>
      </c>
      <c r="L3" s="233" t="n">
        <f aca="false">K3</f>
        <v>37226</v>
      </c>
      <c r="M3" s="233" t="n">
        <f aca="false">L3</f>
        <v>37226</v>
      </c>
      <c r="N3" s="233" t="n">
        <f aca="false">M3</f>
        <v>37226</v>
      </c>
      <c r="O3" s="233" t="n">
        <f aca="false">N3</f>
        <v>37226</v>
      </c>
      <c r="P3" s="233" t="n">
        <f aca="false">O3</f>
        <v>37226</v>
      </c>
      <c r="Q3" s="233" t="n">
        <f aca="false">P3</f>
        <v>37226</v>
      </c>
      <c r="R3" s="233" t="n">
        <f aca="false">Q3</f>
        <v>37226</v>
      </c>
      <c r="S3" s="233" t="n">
        <f aca="false">R3</f>
        <v>37226</v>
      </c>
      <c r="T3" s="233" t="n">
        <f aca="false">S3</f>
        <v>37226</v>
      </c>
      <c r="U3" s="233" t="n">
        <f aca="false">T3</f>
        <v>37226</v>
      </c>
      <c r="V3" s="233" t="n">
        <f aca="false">U3</f>
        <v>37226</v>
      </c>
      <c r="W3" s="233" t="n">
        <f aca="false">V3</f>
        <v>37226</v>
      </c>
      <c r="X3" s="233" t="n">
        <f aca="false">W3</f>
        <v>37226</v>
      </c>
      <c r="Y3" s="233" t="n">
        <f aca="false">X3</f>
        <v>37226</v>
      </c>
      <c r="Z3" s="233" t="n">
        <f aca="false">Y3</f>
        <v>37226</v>
      </c>
      <c r="AA3" s="233" t="n">
        <f aca="false">Z3</f>
        <v>37226</v>
      </c>
      <c r="AB3" s="233" t="n">
        <f aca="false">AA3</f>
        <v>37226</v>
      </c>
      <c r="AC3" s="233" t="n">
        <f aca="false">AB3</f>
        <v>37226</v>
      </c>
      <c r="AD3" s="233" t="n">
        <f aca="false">AC3</f>
        <v>37226</v>
      </c>
      <c r="AE3" s="233" t="n">
        <f aca="false">AD3</f>
        <v>37226</v>
      </c>
      <c r="AF3" s="233" t="n">
        <f aca="false">AE3</f>
        <v>37226</v>
      </c>
      <c r="AG3" s="233" t="n">
        <f aca="false">AF3</f>
        <v>37226</v>
      </c>
      <c r="AH3" s="233" t="n">
        <f aca="false">AG3</f>
        <v>37226</v>
      </c>
      <c r="AI3" s="233" t="n">
        <f aca="false">AH3</f>
        <v>37226</v>
      </c>
      <c r="AJ3" s="233" t="n">
        <f aca="false">AI3</f>
        <v>37226</v>
      </c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</row>
    <row r="4" customFormat="false" ht="12.75" hidden="false" customHeight="false" outlineLevel="0" collapsed="false">
      <c r="A4" s="225" t="n">
        <v>32</v>
      </c>
      <c r="B4" s="233" t="str">
        <f aca="false">HLOOKUP(Count,CurveTable,4,FALSE())</f>
        <v>NGI-SOBDR-PG&amp;E</v>
      </c>
      <c r="D4" s="230" t="s">
        <v>130</v>
      </c>
      <c r="E4" s="233" t="s">
        <v>131</v>
      </c>
      <c r="F4" s="233" t="s">
        <v>74</v>
      </c>
      <c r="G4" s="233" t="s">
        <v>74</v>
      </c>
      <c r="H4" s="233" t="s">
        <v>95</v>
      </c>
      <c r="I4" s="233" t="s">
        <v>95</v>
      </c>
      <c r="J4" s="233" t="s">
        <v>95</v>
      </c>
      <c r="K4" s="233" t="s">
        <v>97</v>
      </c>
      <c r="L4" s="233" t="s">
        <v>97</v>
      </c>
      <c r="M4" s="233" t="s">
        <v>97</v>
      </c>
      <c r="N4" s="233" t="s">
        <v>98</v>
      </c>
      <c r="O4" s="233" t="s">
        <v>98</v>
      </c>
      <c r="P4" s="233" t="s">
        <v>98</v>
      </c>
      <c r="Q4" s="233" t="s">
        <v>105</v>
      </c>
      <c r="R4" s="233" t="s">
        <v>105</v>
      </c>
      <c r="S4" s="233" t="s">
        <v>106</v>
      </c>
      <c r="T4" s="233" t="s">
        <v>106</v>
      </c>
      <c r="U4" s="233" t="s">
        <v>107</v>
      </c>
      <c r="V4" s="233" t="s">
        <v>107</v>
      </c>
      <c r="W4" s="233" t="s">
        <v>108</v>
      </c>
      <c r="X4" s="233" t="s">
        <v>108</v>
      </c>
      <c r="Y4" s="233" t="s">
        <v>100</v>
      </c>
      <c r="Z4" s="233" t="s">
        <v>100</v>
      </c>
      <c r="AA4" s="233" t="s">
        <v>100</v>
      </c>
      <c r="AB4" s="233" t="s">
        <v>109</v>
      </c>
      <c r="AC4" s="233" t="s">
        <v>109</v>
      </c>
      <c r="AD4" s="233" t="s">
        <v>101</v>
      </c>
      <c r="AE4" s="233" t="s">
        <v>101</v>
      </c>
      <c r="AF4" s="233" t="s">
        <v>101</v>
      </c>
      <c r="AG4" s="233" t="s">
        <v>110</v>
      </c>
      <c r="AH4" s="233" t="s">
        <v>110</v>
      </c>
      <c r="AI4" s="233" t="s">
        <v>111</v>
      </c>
      <c r="AJ4" s="233" t="s">
        <v>111</v>
      </c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34"/>
      <c r="IP4" s="234"/>
      <c r="IQ4" s="234"/>
      <c r="IR4" s="234"/>
      <c r="IS4" s="234"/>
      <c r="IT4" s="234"/>
      <c r="IU4" s="234"/>
      <c r="IV4" s="234"/>
      <c r="IW4" s="234"/>
    </row>
    <row r="5" customFormat="false" ht="12.75" hidden="false" customHeight="false" outlineLevel="0" collapsed="false">
      <c r="B5" s="235" t="str">
        <f aca="false">HLOOKUP(Count,CurveTable,5,FALSE())</f>
        <v>PR</v>
      </c>
      <c r="D5" s="230" t="s">
        <v>132</v>
      </c>
      <c r="E5" s="235" t="s">
        <v>133</v>
      </c>
      <c r="F5" s="235" t="s">
        <v>134</v>
      </c>
      <c r="G5" s="235" t="s">
        <v>135</v>
      </c>
      <c r="H5" s="235" t="s">
        <v>134</v>
      </c>
      <c r="I5" s="235" t="s">
        <v>134</v>
      </c>
      <c r="J5" s="235" t="s">
        <v>135</v>
      </c>
      <c r="K5" s="235" t="s">
        <v>134</v>
      </c>
      <c r="L5" s="235" t="s">
        <v>134</v>
      </c>
      <c r="M5" s="235" t="s">
        <v>135</v>
      </c>
      <c r="N5" s="235" t="s">
        <v>134</v>
      </c>
      <c r="O5" s="235" t="s">
        <v>134</v>
      </c>
      <c r="P5" s="235" t="s">
        <v>135</v>
      </c>
      <c r="Q5" s="235" t="s">
        <v>134</v>
      </c>
      <c r="R5" s="235" t="s">
        <v>134</v>
      </c>
      <c r="S5" s="235" t="s">
        <v>134</v>
      </c>
      <c r="T5" s="235" t="s">
        <v>134</v>
      </c>
      <c r="U5" s="235" t="s">
        <v>134</v>
      </c>
      <c r="V5" s="235" t="s">
        <v>134</v>
      </c>
      <c r="W5" s="235" t="s">
        <v>134</v>
      </c>
      <c r="X5" s="235" t="s">
        <v>134</v>
      </c>
      <c r="Y5" s="235" t="s">
        <v>134</v>
      </c>
      <c r="Z5" s="235" t="s">
        <v>134</v>
      </c>
      <c r="AA5" s="235" t="s">
        <v>135</v>
      </c>
      <c r="AB5" s="235" t="s">
        <v>134</v>
      </c>
      <c r="AC5" s="235" t="s">
        <v>134</v>
      </c>
      <c r="AD5" s="235" t="s">
        <v>134</v>
      </c>
      <c r="AE5" s="235" t="s">
        <v>134</v>
      </c>
      <c r="AF5" s="235" t="s">
        <v>135</v>
      </c>
      <c r="AG5" s="235" t="s">
        <v>134</v>
      </c>
      <c r="AH5" s="235" t="s">
        <v>134</v>
      </c>
      <c r="AI5" s="235" t="s">
        <v>134</v>
      </c>
      <c r="AJ5" s="235" t="s">
        <v>134</v>
      </c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</row>
    <row r="6" customFormat="false" ht="12.75" hidden="false" customHeight="false" outlineLevel="0" collapsed="false">
      <c r="B6" s="235" t="str">
        <f aca="false">HLOOKUP(Count,CurveTable,6,FALSE())</f>
        <v>I</v>
      </c>
      <c r="D6" s="230" t="s">
        <v>136</v>
      </c>
      <c r="E6" s="235" t="s">
        <v>137</v>
      </c>
      <c r="F6" s="235" t="s">
        <v>138</v>
      </c>
      <c r="G6" s="235" t="s">
        <v>138</v>
      </c>
      <c r="H6" s="235" t="s">
        <v>139</v>
      </c>
      <c r="I6" s="235" t="s">
        <v>140</v>
      </c>
      <c r="J6" s="235" t="s">
        <v>138</v>
      </c>
      <c r="K6" s="235" t="s">
        <v>139</v>
      </c>
      <c r="L6" s="235" t="s">
        <v>140</v>
      </c>
      <c r="M6" s="235" t="s">
        <v>138</v>
      </c>
      <c r="N6" s="235" t="s">
        <v>139</v>
      </c>
      <c r="O6" s="235" t="s">
        <v>140</v>
      </c>
      <c r="P6" s="235" t="s">
        <v>138</v>
      </c>
      <c r="Q6" s="235" t="s">
        <v>139</v>
      </c>
      <c r="R6" s="235" t="s">
        <v>140</v>
      </c>
      <c r="S6" s="235" t="s">
        <v>139</v>
      </c>
      <c r="T6" s="235" t="s">
        <v>140</v>
      </c>
      <c r="U6" s="235" t="s">
        <v>139</v>
      </c>
      <c r="V6" s="235" t="s">
        <v>140</v>
      </c>
      <c r="W6" s="235" t="s">
        <v>139</v>
      </c>
      <c r="X6" s="235" t="s">
        <v>140</v>
      </c>
      <c r="Y6" s="235" t="s">
        <v>139</v>
      </c>
      <c r="Z6" s="235" t="s">
        <v>140</v>
      </c>
      <c r="AA6" s="235" t="s">
        <v>138</v>
      </c>
      <c r="AB6" s="235" t="s">
        <v>139</v>
      </c>
      <c r="AC6" s="235" t="s">
        <v>140</v>
      </c>
      <c r="AD6" s="235" t="s">
        <v>139</v>
      </c>
      <c r="AE6" s="235" t="s">
        <v>140</v>
      </c>
      <c r="AF6" s="235" t="s">
        <v>138</v>
      </c>
      <c r="AG6" s="235" t="s">
        <v>139</v>
      </c>
      <c r="AH6" s="235" t="s">
        <v>140</v>
      </c>
      <c r="AI6" s="235" t="s">
        <v>139</v>
      </c>
      <c r="AJ6" s="235" t="s">
        <v>140</v>
      </c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</row>
    <row r="7" customFormat="false" ht="12.75" hidden="false" customHeight="false" outlineLevel="0" collapsed="false">
      <c r="B7" s="235" t="str">
        <f aca="false">HLOOKUP(Count,CurveTable,7,FALSE())</f>
        <v>aj8</v>
      </c>
      <c r="D7" s="230" t="s">
        <v>141</v>
      </c>
      <c r="E7" s="235" t="s">
        <v>142</v>
      </c>
      <c r="F7" s="235" t="s">
        <v>143</v>
      </c>
      <c r="G7" s="235" t="s">
        <v>144</v>
      </c>
      <c r="H7" s="235" t="s">
        <v>145</v>
      </c>
      <c r="I7" s="235" t="s">
        <v>146</v>
      </c>
      <c r="J7" s="235" t="s">
        <v>147</v>
      </c>
      <c r="K7" s="235" t="s">
        <v>148</v>
      </c>
      <c r="L7" s="235" t="s">
        <v>149</v>
      </c>
      <c r="M7" s="235" t="s">
        <v>150</v>
      </c>
      <c r="N7" s="235" t="s">
        <v>151</v>
      </c>
      <c r="O7" s="235" t="s">
        <v>152</v>
      </c>
      <c r="P7" s="235" t="s">
        <v>153</v>
      </c>
      <c r="Q7" s="235" t="s">
        <v>154</v>
      </c>
      <c r="R7" s="235" t="s">
        <v>155</v>
      </c>
      <c r="S7" s="235" t="s">
        <v>156</v>
      </c>
      <c r="T7" s="235" t="s">
        <v>157</v>
      </c>
      <c r="U7" s="235" t="s">
        <v>158</v>
      </c>
      <c r="V7" s="235" t="s">
        <v>159</v>
      </c>
      <c r="W7" s="235" t="s">
        <v>160</v>
      </c>
      <c r="X7" s="235" t="s">
        <v>161</v>
      </c>
      <c r="Y7" s="235" t="s">
        <v>162</v>
      </c>
      <c r="Z7" s="235" t="s">
        <v>163</v>
      </c>
      <c r="AA7" s="235" t="s">
        <v>164</v>
      </c>
      <c r="AB7" s="235" t="s">
        <v>165</v>
      </c>
      <c r="AC7" s="235" t="s">
        <v>166</v>
      </c>
      <c r="AD7" s="235" t="s">
        <v>167</v>
      </c>
      <c r="AE7" s="235" t="s">
        <v>168</v>
      </c>
      <c r="AF7" s="235" t="s">
        <v>169</v>
      </c>
      <c r="AG7" s="235" t="s">
        <v>170</v>
      </c>
      <c r="AH7" s="235" t="s">
        <v>171</v>
      </c>
      <c r="AI7" s="235" t="s">
        <v>172</v>
      </c>
      <c r="AJ7" s="235" t="s">
        <v>173</v>
      </c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</row>
    <row r="8" customFormat="false" ht="12.75" hidden="false" customHeight="false" outlineLevel="0" collapsed="false">
      <c r="B8" s="236"/>
      <c r="D8" s="226" t="n">
        <v>37226</v>
      </c>
      <c r="E8" s="227" t="n">
        <v>0.0238699204803896</v>
      </c>
      <c r="F8" s="227" t="n">
        <v>3.29</v>
      </c>
      <c r="G8" s="227" t="n">
        <v>0.875</v>
      </c>
      <c r="H8" s="227" t="n">
        <v>-0.34</v>
      </c>
      <c r="I8" s="227" t="n">
        <v>-0.01</v>
      </c>
      <c r="J8" s="227" t="n">
        <v>0.875</v>
      </c>
      <c r="K8" s="227" t="n">
        <v>-0.225</v>
      </c>
      <c r="L8" s="227" t="n">
        <v>-0.0275</v>
      </c>
      <c r="M8" s="227" t="n">
        <v>0.875</v>
      </c>
      <c r="N8" s="227" t="n">
        <v>-0.48</v>
      </c>
      <c r="O8" s="227" t="n">
        <v>0.015</v>
      </c>
      <c r="P8" s="227" t="n">
        <v>0.875</v>
      </c>
      <c r="Q8" s="227" t="n">
        <v>-0.48</v>
      </c>
      <c r="R8" s="227" t="n">
        <v>0</v>
      </c>
      <c r="S8" s="227" t="n">
        <v>-0.625</v>
      </c>
      <c r="T8" s="227" t="n">
        <v>0.049</v>
      </c>
      <c r="U8" s="227" t="n">
        <v>-0.525</v>
      </c>
      <c r="V8" s="227" t="n">
        <v>0.02</v>
      </c>
      <c r="W8" s="227" t="n">
        <v>-0.46469358130261</v>
      </c>
      <c r="X8" s="227" t="n">
        <v>0</v>
      </c>
      <c r="Y8" s="227" t="n">
        <v>-0.02</v>
      </c>
      <c r="Z8" s="227" t="n">
        <v>0.04</v>
      </c>
      <c r="AA8" s="227" t="n">
        <v>0.893</v>
      </c>
      <c r="AB8" s="227" t="n">
        <v>-0.095</v>
      </c>
      <c r="AC8" s="227" t="n">
        <v>0.02</v>
      </c>
      <c r="AD8" s="226" t="n">
        <v>-0.065</v>
      </c>
      <c r="AE8" s="227" t="n">
        <v>-0.01</v>
      </c>
      <c r="AF8" s="227" t="n">
        <v>0.945</v>
      </c>
      <c r="AG8" s="227" t="n">
        <v>0.06</v>
      </c>
      <c r="AH8" s="227" t="n">
        <v>0.01</v>
      </c>
      <c r="AI8" s="227" t="n">
        <v>-0.04</v>
      </c>
      <c r="AJ8" s="227" t="n">
        <v>0</v>
      </c>
    </row>
    <row r="9" customFormat="false" ht="12.75" hidden="false" customHeight="false" outlineLevel="0" collapsed="false">
      <c r="B9" s="237"/>
      <c r="D9" s="226" t="n">
        <v>37257</v>
      </c>
      <c r="E9" s="227" t="n">
        <v>0.0232713784492908</v>
      </c>
      <c r="F9" s="227" t="n">
        <v>3.434</v>
      </c>
      <c r="G9" s="227" t="n">
        <v>0.83</v>
      </c>
      <c r="H9" s="227" t="n">
        <v>-0.285</v>
      </c>
      <c r="I9" s="227" t="n">
        <v>-0.01</v>
      </c>
      <c r="J9" s="227" t="n">
        <v>0.83</v>
      </c>
      <c r="K9" s="227" t="n">
        <v>-0.19</v>
      </c>
      <c r="L9" s="227" t="n">
        <v>-0.0275</v>
      </c>
      <c r="M9" s="227" t="n">
        <v>0.83</v>
      </c>
      <c r="N9" s="227" t="n">
        <v>-0.415</v>
      </c>
      <c r="O9" s="227" t="n">
        <v>0.015</v>
      </c>
      <c r="P9" s="227" t="n">
        <v>0.83</v>
      </c>
      <c r="Q9" s="227" t="n">
        <v>-0.415</v>
      </c>
      <c r="R9" s="227" t="n">
        <v>0.025</v>
      </c>
      <c r="S9" s="227" t="n">
        <v>-0.56</v>
      </c>
      <c r="T9" s="227" t="n">
        <v>0.049</v>
      </c>
      <c r="U9" s="227" t="n">
        <v>-0.46</v>
      </c>
      <c r="V9" s="227" t="n">
        <v>0.02</v>
      </c>
      <c r="W9" s="227" t="n">
        <v>-0.475</v>
      </c>
      <c r="X9" s="227" t="n">
        <v>-0.0013225908338935</v>
      </c>
      <c r="Y9" s="227" t="n">
        <v>0.09</v>
      </c>
      <c r="Z9" s="227" t="n">
        <v>0.04</v>
      </c>
      <c r="AA9" s="227" t="n">
        <v>0.847</v>
      </c>
      <c r="AB9" s="227" t="n">
        <v>-0.035</v>
      </c>
      <c r="AC9" s="227" t="n">
        <v>0.02</v>
      </c>
      <c r="AD9" s="226" t="n">
        <v>-0.02</v>
      </c>
      <c r="AE9" s="227" t="n">
        <v>-0.01</v>
      </c>
      <c r="AF9" s="227" t="n">
        <v>0.896</v>
      </c>
      <c r="AG9" s="227" t="n">
        <v>0.135</v>
      </c>
      <c r="AH9" s="227" t="n">
        <v>0.01</v>
      </c>
      <c r="AI9" s="227" t="n">
        <v>0.035</v>
      </c>
      <c r="AJ9" s="227" t="n">
        <v>0</v>
      </c>
    </row>
    <row r="10" customFormat="false" ht="12.75" hidden="false" customHeight="false" outlineLevel="0" collapsed="false">
      <c r="D10" s="226" t="n">
        <v>37288</v>
      </c>
      <c r="E10" s="227" t="n">
        <v>0.0227312788754284</v>
      </c>
      <c r="F10" s="227" t="n">
        <v>3.424</v>
      </c>
      <c r="G10" s="227" t="n">
        <v>0.7575</v>
      </c>
      <c r="H10" s="227" t="n">
        <v>-0.29</v>
      </c>
      <c r="I10" s="227" t="n">
        <v>-0.01</v>
      </c>
      <c r="J10" s="227" t="n">
        <v>0.758</v>
      </c>
      <c r="K10" s="227" t="n">
        <v>-0.185</v>
      </c>
      <c r="L10" s="227" t="n">
        <v>-0.0275</v>
      </c>
      <c r="M10" s="227" t="n">
        <v>0.758</v>
      </c>
      <c r="N10" s="227" t="n">
        <v>-0.415</v>
      </c>
      <c r="O10" s="227" t="n">
        <v>0.015</v>
      </c>
      <c r="P10" s="227" t="n">
        <v>0.758</v>
      </c>
      <c r="Q10" s="227" t="n">
        <v>-0.415</v>
      </c>
      <c r="R10" s="227" t="n">
        <v>0.025</v>
      </c>
      <c r="S10" s="227" t="n">
        <v>-0.56</v>
      </c>
      <c r="T10" s="227" t="n">
        <v>0.049</v>
      </c>
      <c r="U10" s="227" t="n">
        <v>-0.46</v>
      </c>
      <c r="V10" s="227" t="n">
        <v>0.02</v>
      </c>
      <c r="W10" s="227" t="n">
        <v>-0.48</v>
      </c>
      <c r="X10" s="227" t="n">
        <v>-0.0013226247875177</v>
      </c>
      <c r="Y10" s="227" t="n">
        <v>-0.14</v>
      </c>
      <c r="Z10" s="227" t="n">
        <v>0.03</v>
      </c>
      <c r="AA10" s="227" t="n">
        <v>0.773</v>
      </c>
      <c r="AB10" s="227" t="n">
        <v>-0.085</v>
      </c>
      <c r="AC10" s="227" t="n">
        <v>0.02</v>
      </c>
      <c r="AD10" s="226" t="n">
        <v>-0.04</v>
      </c>
      <c r="AE10" s="227" t="n">
        <v>-0.01</v>
      </c>
      <c r="AF10" s="227" t="n">
        <v>0.818</v>
      </c>
      <c r="AG10" s="227" t="n">
        <v>0.11</v>
      </c>
      <c r="AH10" s="227" t="n">
        <v>0.01</v>
      </c>
      <c r="AI10" s="227" t="n">
        <v>0.01</v>
      </c>
      <c r="AJ10" s="227" t="n">
        <v>0</v>
      </c>
    </row>
    <row r="11" customFormat="false" ht="12.75" hidden="false" customHeight="false" outlineLevel="0" collapsed="false">
      <c r="D11" s="226" t="n">
        <v>37316</v>
      </c>
      <c r="E11" s="227" t="n">
        <v>0.0223314782867425</v>
      </c>
      <c r="F11" s="227" t="n">
        <v>3.359</v>
      </c>
      <c r="G11" s="227" t="n">
        <v>0.6675</v>
      </c>
      <c r="H11" s="227" t="n">
        <v>-0.325</v>
      </c>
      <c r="I11" s="227" t="n">
        <v>-0.01</v>
      </c>
      <c r="J11" s="227" t="n">
        <v>0.668</v>
      </c>
      <c r="K11" s="227" t="n">
        <v>-0.185</v>
      </c>
      <c r="L11" s="227" t="n">
        <v>-0.0275</v>
      </c>
      <c r="M11" s="227" t="n">
        <v>0.668</v>
      </c>
      <c r="N11" s="227" t="n">
        <v>-0.48</v>
      </c>
      <c r="O11" s="227" t="n">
        <v>0.015</v>
      </c>
      <c r="P11" s="227" t="n">
        <v>0.668</v>
      </c>
      <c r="Q11" s="227" t="n">
        <v>-0.48</v>
      </c>
      <c r="R11" s="227" t="n">
        <v>0</v>
      </c>
      <c r="S11" s="227" t="n">
        <v>-0.625</v>
      </c>
      <c r="T11" s="227" t="n">
        <v>0.029</v>
      </c>
      <c r="U11" s="227" t="n">
        <v>-0.525</v>
      </c>
      <c r="V11" s="227" t="n">
        <v>0.02</v>
      </c>
      <c r="W11" s="227" t="n">
        <v>-0.505</v>
      </c>
      <c r="X11" s="227" t="n">
        <v>-0.0013223689501918</v>
      </c>
      <c r="Y11" s="227" t="n">
        <v>-0.365</v>
      </c>
      <c r="Z11" s="227" t="n">
        <v>0.015</v>
      </c>
      <c r="AA11" s="227" t="n">
        <v>0.681</v>
      </c>
      <c r="AB11" s="227" t="n">
        <v>-0.16</v>
      </c>
      <c r="AC11" s="227" t="n">
        <v>0.02</v>
      </c>
      <c r="AD11" s="226" t="n">
        <v>-0.06</v>
      </c>
      <c r="AE11" s="227" t="n">
        <v>-0.01</v>
      </c>
      <c r="AF11" s="227" t="n">
        <v>0.721</v>
      </c>
      <c r="AG11" s="227" t="n">
        <v>0</v>
      </c>
      <c r="AH11" s="227" t="n">
        <v>0.01</v>
      </c>
      <c r="AI11" s="227" t="n">
        <v>-0.1</v>
      </c>
      <c r="AJ11" s="227" t="n">
        <v>0</v>
      </c>
    </row>
    <row r="12" customFormat="false" ht="12.75" hidden="false" customHeight="false" outlineLevel="0" collapsed="false">
      <c r="D12" s="226" t="n">
        <v>37347</v>
      </c>
      <c r="E12" s="227" t="n">
        <v>0.0220644824999727</v>
      </c>
      <c r="F12" s="227" t="n">
        <v>3.254</v>
      </c>
      <c r="G12" s="227" t="n">
        <v>0.535</v>
      </c>
      <c r="H12" s="227" t="n">
        <v>-0.365</v>
      </c>
      <c r="I12" s="227" t="n">
        <v>0</v>
      </c>
      <c r="J12" s="227" t="n">
        <v>0.535</v>
      </c>
      <c r="K12" s="227" t="n">
        <v>-0.1575</v>
      </c>
      <c r="L12" s="227" t="n">
        <v>-0.01</v>
      </c>
      <c r="M12" s="227" t="n">
        <v>0.535</v>
      </c>
      <c r="N12" s="227" t="n">
        <v>-0.565</v>
      </c>
      <c r="O12" s="227" t="n">
        <v>0.02</v>
      </c>
      <c r="P12" s="227" t="n">
        <v>0.535</v>
      </c>
      <c r="Q12" s="227" t="n">
        <v>-0.565</v>
      </c>
      <c r="R12" s="227" t="n">
        <v>0</v>
      </c>
      <c r="S12" s="227" t="n">
        <v>-0.665</v>
      </c>
      <c r="T12" s="227" t="n">
        <v>0.012</v>
      </c>
      <c r="U12" s="227" t="n">
        <v>-0.665</v>
      </c>
      <c r="V12" s="227" t="n">
        <v>0.01</v>
      </c>
      <c r="W12" s="227" t="n">
        <v>-0.505</v>
      </c>
      <c r="X12" s="227" t="n">
        <v>-0.0013221296089356</v>
      </c>
      <c r="Y12" s="227" t="n">
        <v>-0.34</v>
      </c>
      <c r="Z12" s="227" t="n">
        <v>0.02</v>
      </c>
      <c r="AA12" s="227" t="n">
        <v>0.546</v>
      </c>
      <c r="AB12" s="227" t="n">
        <v>-0.14</v>
      </c>
      <c r="AC12" s="227" t="n">
        <v>0.02</v>
      </c>
      <c r="AD12" s="226" t="n">
        <v>0.015</v>
      </c>
      <c r="AE12" s="227" t="n">
        <v>-0.01</v>
      </c>
      <c r="AF12" s="227" t="n">
        <v>0.535</v>
      </c>
      <c r="AG12" s="227" t="n">
        <v>0.04</v>
      </c>
      <c r="AH12" s="227" t="n">
        <v>0.03</v>
      </c>
      <c r="AI12" s="227" t="n">
        <v>-0.16</v>
      </c>
      <c r="AJ12" s="227" t="n">
        <v>0</v>
      </c>
    </row>
    <row r="13" customFormat="false" ht="12.75" hidden="false" customHeight="false" outlineLevel="0" collapsed="false">
      <c r="B13" s="225" t="s">
        <v>174</v>
      </c>
      <c r="D13" s="226" t="n">
        <v>37377</v>
      </c>
      <c r="E13" s="227" t="n">
        <v>0.0220263632358026</v>
      </c>
      <c r="F13" s="227" t="n">
        <v>3.283</v>
      </c>
      <c r="G13" s="227" t="n">
        <v>0.475</v>
      </c>
      <c r="H13" s="227" t="n">
        <v>-0.365</v>
      </c>
      <c r="I13" s="227" t="n">
        <v>0</v>
      </c>
      <c r="J13" s="227" t="n">
        <v>0.475</v>
      </c>
      <c r="K13" s="227" t="n">
        <v>-0.1525</v>
      </c>
      <c r="L13" s="227" t="n">
        <v>-0.01</v>
      </c>
      <c r="M13" s="227" t="n">
        <v>0.475</v>
      </c>
      <c r="N13" s="227" t="n">
        <v>-0.565</v>
      </c>
      <c r="O13" s="227" t="n">
        <v>0.02</v>
      </c>
      <c r="P13" s="227" t="n">
        <v>0.475</v>
      </c>
      <c r="Q13" s="227" t="n">
        <v>-0.565</v>
      </c>
      <c r="R13" s="227" t="n">
        <v>0</v>
      </c>
      <c r="S13" s="227" t="n">
        <v>-0.665</v>
      </c>
      <c r="T13" s="227" t="n">
        <v>0.012</v>
      </c>
      <c r="U13" s="227" t="n">
        <v>-0.665</v>
      </c>
      <c r="V13" s="227" t="n">
        <v>0.01</v>
      </c>
      <c r="W13" s="227" t="n">
        <v>-0.505</v>
      </c>
      <c r="X13" s="227" t="n">
        <v>-0.0013220280001385</v>
      </c>
      <c r="Y13" s="227" t="n">
        <v>-0.34</v>
      </c>
      <c r="Z13" s="227" t="n">
        <v>0.02</v>
      </c>
      <c r="AA13" s="227" t="n">
        <v>0.485</v>
      </c>
      <c r="AB13" s="227" t="n">
        <v>-0.14</v>
      </c>
      <c r="AC13" s="227" t="n">
        <v>0.02</v>
      </c>
      <c r="AD13" s="226" t="n">
        <v>0.045</v>
      </c>
      <c r="AE13" s="227" t="n">
        <v>-0.01</v>
      </c>
      <c r="AF13" s="227" t="n">
        <v>0.475</v>
      </c>
      <c r="AG13" s="227" t="n">
        <v>0.11</v>
      </c>
      <c r="AH13" s="227" t="n">
        <v>0.03</v>
      </c>
      <c r="AI13" s="227" t="n">
        <v>-0.09</v>
      </c>
      <c r="AJ13" s="227" t="n">
        <v>0</v>
      </c>
    </row>
    <row r="14" customFormat="false" ht="12.75" hidden="false" customHeight="false" outlineLevel="0" collapsed="false">
      <c r="D14" s="226" t="n">
        <v>37408</v>
      </c>
      <c r="E14" s="227" t="n">
        <v>0.0219869733300104</v>
      </c>
      <c r="F14" s="227" t="n">
        <v>3.319</v>
      </c>
      <c r="G14" s="227" t="n">
        <v>0.46</v>
      </c>
      <c r="H14" s="227" t="n">
        <v>-0.365</v>
      </c>
      <c r="I14" s="227" t="n">
        <v>0</v>
      </c>
      <c r="J14" s="227" t="n">
        <v>0.46</v>
      </c>
      <c r="K14" s="227" t="n">
        <v>-0.1425</v>
      </c>
      <c r="L14" s="227" t="n">
        <v>-0.01</v>
      </c>
      <c r="M14" s="227" t="n">
        <v>0.46</v>
      </c>
      <c r="N14" s="227" t="n">
        <v>-0.565</v>
      </c>
      <c r="O14" s="227" t="n">
        <v>0.02</v>
      </c>
      <c r="P14" s="227" t="n">
        <v>0.46</v>
      </c>
      <c r="Q14" s="227" t="n">
        <v>-0.565</v>
      </c>
      <c r="R14" s="227" t="n">
        <v>0</v>
      </c>
      <c r="S14" s="227" t="n">
        <v>-0.665</v>
      </c>
      <c r="T14" s="227" t="n">
        <v>0.012</v>
      </c>
      <c r="U14" s="227" t="n">
        <v>-0.665</v>
      </c>
      <c r="V14" s="227" t="n">
        <v>0.01</v>
      </c>
      <c r="W14" s="227" t="n">
        <v>-0.505</v>
      </c>
      <c r="X14" s="227" t="n">
        <v>-0.0013219580593974</v>
      </c>
      <c r="Y14" s="227" t="n">
        <v>-0.34</v>
      </c>
      <c r="Z14" s="227" t="n">
        <v>0.02</v>
      </c>
      <c r="AA14" s="227" t="n">
        <v>0.469</v>
      </c>
      <c r="AB14" s="227" t="n">
        <v>-0.14</v>
      </c>
      <c r="AC14" s="227" t="n">
        <v>0.02</v>
      </c>
      <c r="AD14" s="226" t="n">
        <v>0.085</v>
      </c>
      <c r="AE14" s="227" t="n">
        <v>-0.01</v>
      </c>
      <c r="AF14" s="227" t="n">
        <v>0.46</v>
      </c>
      <c r="AG14" s="227" t="n">
        <v>0.19</v>
      </c>
      <c r="AH14" s="227" t="n">
        <v>0.03</v>
      </c>
      <c r="AI14" s="227" t="n">
        <v>-0.01</v>
      </c>
      <c r="AJ14" s="227" t="n">
        <v>0</v>
      </c>
    </row>
    <row r="15" customFormat="false" ht="13.5" hidden="false" customHeight="false" outlineLevel="0" collapsed="false">
      <c r="D15" s="226" t="n">
        <v>37438</v>
      </c>
      <c r="E15" s="227" t="n">
        <v>0.0220481279359865</v>
      </c>
      <c r="F15" s="227" t="n">
        <v>3.359</v>
      </c>
      <c r="G15" s="227" t="n">
        <v>0.46</v>
      </c>
      <c r="H15" s="227" t="n">
        <v>-0.32</v>
      </c>
      <c r="I15" s="227" t="n">
        <v>0</v>
      </c>
      <c r="J15" s="227" t="n">
        <v>0.46</v>
      </c>
      <c r="K15" s="227" t="n">
        <v>-0.1175</v>
      </c>
      <c r="L15" s="227" t="n">
        <v>-0.01</v>
      </c>
      <c r="M15" s="227" t="n">
        <v>0.46</v>
      </c>
      <c r="N15" s="227" t="n">
        <v>-0.565</v>
      </c>
      <c r="O15" s="227" t="n">
        <v>0.02</v>
      </c>
      <c r="P15" s="227" t="n">
        <v>0.46</v>
      </c>
      <c r="Q15" s="227" t="n">
        <v>-0.565</v>
      </c>
      <c r="R15" s="227" t="n">
        <v>0</v>
      </c>
      <c r="S15" s="227" t="n">
        <v>-0.665</v>
      </c>
      <c r="T15" s="227" t="n">
        <v>0.012</v>
      </c>
      <c r="U15" s="227" t="n">
        <v>-0.665</v>
      </c>
      <c r="V15" s="227" t="n">
        <v>0.01</v>
      </c>
      <c r="W15" s="227" t="n">
        <v>-0.505</v>
      </c>
      <c r="X15" s="227" t="n">
        <v>-0.0013218954078171</v>
      </c>
      <c r="Y15" s="227" t="n">
        <v>-0.395</v>
      </c>
      <c r="Z15" s="227" t="n">
        <v>0.02</v>
      </c>
      <c r="AA15" s="227" t="n">
        <v>0.469</v>
      </c>
      <c r="AB15" s="227" t="n">
        <v>-0.01</v>
      </c>
      <c r="AC15" s="227" t="n">
        <v>0.02</v>
      </c>
      <c r="AD15" s="226" t="n">
        <v>0.21</v>
      </c>
      <c r="AE15" s="227" t="n">
        <v>-0.01</v>
      </c>
      <c r="AF15" s="227" t="n">
        <v>0.46</v>
      </c>
      <c r="AG15" s="227" t="n">
        <v>0.255</v>
      </c>
      <c r="AH15" s="227" t="n">
        <v>0.03</v>
      </c>
      <c r="AI15" s="227" t="n">
        <v>0.055</v>
      </c>
      <c r="AJ15" s="227" t="n">
        <v>0</v>
      </c>
    </row>
    <row r="16" customFormat="false" ht="13.5" hidden="false" customHeight="false" outlineLevel="0" collapsed="false">
      <c r="B16" s="238" t="s">
        <v>65</v>
      </c>
      <c r="D16" s="226" t="n">
        <v>37469</v>
      </c>
      <c r="E16" s="227" t="n">
        <v>0.0222717378773623</v>
      </c>
      <c r="F16" s="227" t="n">
        <v>3.399</v>
      </c>
      <c r="G16" s="227" t="n">
        <v>0.46</v>
      </c>
      <c r="H16" s="227" t="n">
        <v>-0.32</v>
      </c>
      <c r="I16" s="227" t="n">
        <v>0</v>
      </c>
      <c r="J16" s="227" t="n">
        <v>0.46</v>
      </c>
      <c r="K16" s="227" t="n">
        <v>-0.11</v>
      </c>
      <c r="L16" s="227" t="n">
        <v>-0.01</v>
      </c>
      <c r="M16" s="227" t="n">
        <v>0.46</v>
      </c>
      <c r="N16" s="227" t="n">
        <v>-0.565</v>
      </c>
      <c r="O16" s="227" t="n">
        <v>0.02</v>
      </c>
      <c r="P16" s="227" t="n">
        <v>0.46</v>
      </c>
      <c r="Q16" s="227" t="n">
        <v>-0.565</v>
      </c>
      <c r="R16" s="227" t="n">
        <v>0</v>
      </c>
      <c r="S16" s="227" t="n">
        <v>-0.665</v>
      </c>
      <c r="T16" s="227" t="n">
        <v>0.012</v>
      </c>
      <c r="U16" s="227" t="n">
        <v>-0.665</v>
      </c>
      <c r="V16" s="227" t="n">
        <v>0.01</v>
      </c>
      <c r="W16" s="227" t="n">
        <v>-0.505</v>
      </c>
      <c r="X16" s="227" t="n">
        <v>-0.0013218556748213</v>
      </c>
      <c r="Y16" s="227" t="n">
        <v>-0.395</v>
      </c>
      <c r="Z16" s="227" t="n">
        <v>0.02</v>
      </c>
      <c r="AA16" s="227" t="n">
        <v>0.469</v>
      </c>
      <c r="AB16" s="227" t="n">
        <v>-0.01</v>
      </c>
      <c r="AC16" s="227" t="n">
        <v>0.02</v>
      </c>
      <c r="AD16" s="226" t="n">
        <v>0.225</v>
      </c>
      <c r="AE16" s="227" t="n">
        <v>-0.01</v>
      </c>
      <c r="AF16" s="227" t="n">
        <v>0.46</v>
      </c>
      <c r="AG16" s="227" t="n">
        <v>0.26</v>
      </c>
      <c r="AH16" s="227" t="n">
        <v>0.03</v>
      </c>
      <c r="AI16" s="227" t="n">
        <v>0.06</v>
      </c>
      <c r="AJ16" s="227" t="n">
        <v>0</v>
      </c>
    </row>
    <row r="17" customFormat="false" ht="12.75" hidden="false" customHeight="false" outlineLevel="0" collapsed="false">
      <c r="B17" s="239" t="n">
        <v>36892</v>
      </c>
      <c r="D17" s="226" t="n">
        <v>37500</v>
      </c>
      <c r="E17" s="227" t="n">
        <v>0.0224953478356618</v>
      </c>
      <c r="F17" s="227" t="n">
        <v>3.399</v>
      </c>
      <c r="G17" s="227" t="n">
        <v>0.46</v>
      </c>
      <c r="H17" s="227" t="n">
        <v>-0.32</v>
      </c>
      <c r="I17" s="227" t="n">
        <v>0</v>
      </c>
      <c r="J17" s="227" t="n">
        <v>0.46</v>
      </c>
      <c r="K17" s="227" t="n">
        <v>-0.12</v>
      </c>
      <c r="L17" s="227" t="n">
        <v>-0.01</v>
      </c>
      <c r="M17" s="227" t="n">
        <v>0.46</v>
      </c>
      <c r="N17" s="227" t="n">
        <v>-0.565</v>
      </c>
      <c r="O17" s="227" t="n">
        <v>0</v>
      </c>
      <c r="P17" s="227" t="n">
        <v>0.46</v>
      </c>
      <c r="Q17" s="227" t="n">
        <v>-0.565</v>
      </c>
      <c r="R17" s="227" t="n">
        <v>0</v>
      </c>
      <c r="S17" s="227" t="n">
        <v>-0.665</v>
      </c>
      <c r="T17" s="227" t="n">
        <v>0.012</v>
      </c>
      <c r="U17" s="227" t="n">
        <v>-0.665</v>
      </c>
      <c r="V17" s="227" t="n">
        <v>0.0125</v>
      </c>
      <c r="W17" s="227" t="n">
        <v>-0.505</v>
      </c>
      <c r="X17" s="227" t="n">
        <v>-0.0013218433155938</v>
      </c>
      <c r="Y17" s="227" t="n">
        <v>-0.395</v>
      </c>
      <c r="Z17" s="227" t="n">
        <v>0.02</v>
      </c>
      <c r="AA17" s="227" t="n">
        <v>0.469</v>
      </c>
      <c r="AB17" s="227" t="n">
        <v>-0.01</v>
      </c>
      <c r="AC17" s="227" t="n">
        <v>0.02</v>
      </c>
      <c r="AD17" s="226" t="n">
        <v>0.21</v>
      </c>
      <c r="AE17" s="227" t="n">
        <v>-0.01</v>
      </c>
      <c r="AF17" s="227" t="n">
        <v>0.46</v>
      </c>
      <c r="AG17" s="227" t="n">
        <v>0.2</v>
      </c>
      <c r="AH17" s="227" t="n">
        <v>0.03</v>
      </c>
      <c r="AI17" s="227" t="n">
        <v>0</v>
      </c>
      <c r="AJ17" s="227" t="n">
        <v>0</v>
      </c>
    </row>
    <row r="18" customFormat="false" ht="12.75" hidden="false" customHeight="false" outlineLevel="0" collapsed="false">
      <c r="B18" s="240" t="n">
        <v>36910</v>
      </c>
      <c r="D18" s="226" t="n">
        <v>37530</v>
      </c>
      <c r="E18" s="227" t="n">
        <v>0.0227794904897953</v>
      </c>
      <c r="F18" s="227" t="n">
        <v>3.429</v>
      </c>
      <c r="G18" s="227" t="n">
        <v>0.46</v>
      </c>
      <c r="H18" s="227" t="n">
        <v>-0.33</v>
      </c>
      <c r="I18" s="227" t="n">
        <v>0</v>
      </c>
      <c r="J18" s="227" t="n">
        <v>0.46</v>
      </c>
      <c r="K18" s="227" t="n">
        <v>-0.1625</v>
      </c>
      <c r="L18" s="227" t="n">
        <v>-0.01</v>
      </c>
      <c r="M18" s="227" t="n">
        <v>0.46</v>
      </c>
      <c r="N18" s="227" t="n">
        <v>-0.565</v>
      </c>
      <c r="O18" s="227" t="n">
        <v>0.02</v>
      </c>
      <c r="P18" s="227" t="n">
        <v>0.46</v>
      </c>
      <c r="Q18" s="227" t="n">
        <v>-0.565</v>
      </c>
      <c r="R18" s="227" t="n">
        <v>0</v>
      </c>
      <c r="S18" s="227" t="n">
        <v>-0.665</v>
      </c>
      <c r="T18" s="227" t="n">
        <v>0.012</v>
      </c>
      <c r="U18" s="227" t="n">
        <v>-0.665</v>
      </c>
      <c r="V18" s="227" t="n">
        <v>0.03</v>
      </c>
      <c r="W18" s="227" t="n">
        <v>-0.505</v>
      </c>
      <c r="X18" s="227" t="n">
        <v>-0.001321825183942</v>
      </c>
      <c r="Y18" s="227" t="n">
        <v>-0.24</v>
      </c>
      <c r="Z18" s="227" t="n">
        <v>0.02</v>
      </c>
      <c r="AA18" s="227" t="n">
        <v>0.469</v>
      </c>
      <c r="AB18" s="227" t="n">
        <v>-0.06</v>
      </c>
      <c r="AC18" s="227" t="n">
        <v>0.02</v>
      </c>
      <c r="AD18" s="226" t="n">
        <v>0.095</v>
      </c>
      <c r="AE18" s="227" t="n">
        <v>-0.01</v>
      </c>
      <c r="AF18" s="227" t="n">
        <v>0.46</v>
      </c>
      <c r="AG18" s="227" t="n">
        <v>0.175</v>
      </c>
      <c r="AH18" s="227" t="n">
        <v>0.03</v>
      </c>
      <c r="AI18" s="227" t="n">
        <v>-0.025</v>
      </c>
      <c r="AJ18" s="227" t="n">
        <v>0</v>
      </c>
    </row>
    <row r="19" customFormat="false" ht="12.75" hidden="false" customHeight="false" outlineLevel="0" collapsed="false">
      <c r="B19" s="240" t="n">
        <v>36994</v>
      </c>
      <c r="D19" s="226" t="n">
        <v>37561</v>
      </c>
      <c r="E19" s="227" t="n">
        <v>0.0231692442037943</v>
      </c>
      <c r="F19" s="227" t="n">
        <v>3.604</v>
      </c>
      <c r="G19" s="227" t="n">
        <v>0.4575</v>
      </c>
      <c r="H19" s="227" t="n">
        <v>-0.2</v>
      </c>
      <c r="I19" s="227" t="n">
        <v>0</v>
      </c>
      <c r="J19" s="227" t="n">
        <v>0.458</v>
      </c>
      <c r="K19" s="227" t="n">
        <v>-0.14</v>
      </c>
      <c r="L19" s="227" t="n">
        <v>0</v>
      </c>
      <c r="M19" s="227" t="n">
        <v>0.458</v>
      </c>
      <c r="N19" s="227" t="n">
        <v>-0.2775</v>
      </c>
      <c r="O19" s="227" t="n">
        <v>0.0275</v>
      </c>
      <c r="P19" s="227" t="n">
        <v>0.458</v>
      </c>
      <c r="Q19" s="227" t="n">
        <v>-0.2775</v>
      </c>
      <c r="R19" s="227" t="n">
        <v>0.14</v>
      </c>
      <c r="S19" s="227" t="n">
        <v>-0.3225</v>
      </c>
      <c r="T19" s="227" t="n">
        <v>0.152</v>
      </c>
      <c r="U19" s="227" t="n">
        <v>-0.3225</v>
      </c>
      <c r="V19" s="227" t="n">
        <v>0.03</v>
      </c>
      <c r="W19" s="227" t="n">
        <v>-0.42</v>
      </c>
      <c r="X19" s="227" t="n">
        <v>-0.0013218187577443</v>
      </c>
      <c r="Y19" s="227" t="n">
        <v>0</v>
      </c>
      <c r="Z19" s="227" t="n">
        <v>0.06</v>
      </c>
      <c r="AA19" s="227" t="n">
        <v>0.467</v>
      </c>
      <c r="AB19" s="227" t="n">
        <v>0.1</v>
      </c>
      <c r="AC19" s="227" t="n">
        <v>0.04</v>
      </c>
      <c r="AD19" s="226" t="n">
        <v>0.155</v>
      </c>
      <c r="AE19" s="227" t="n">
        <v>0.02</v>
      </c>
      <c r="AF19" s="227" t="n">
        <v>0.458</v>
      </c>
      <c r="AG19" s="227" t="n">
        <v>0.26</v>
      </c>
      <c r="AH19" s="227" t="n">
        <v>0.04</v>
      </c>
      <c r="AI19" s="227" t="n">
        <v>0.06</v>
      </c>
      <c r="AJ19" s="227" t="n">
        <v>0.02</v>
      </c>
    </row>
    <row r="20" customFormat="false" ht="12.75" hidden="false" customHeight="false" outlineLevel="0" collapsed="false">
      <c r="B20" s="240"/>
      <c r="D20" s="226" t="n">
        <v>37591</v>
      </c>
      <c r="E20" s="227" t="n">
        <v>0.0235464252662747</v>
      </c>
      <c r="F20" s="227" t="n">
        <v>3.794</v>
      </c>
      <c r="G20" s="227" t="n">
        <v>0.455</v>
      </c>
      <c r="H20" s="227" t="n">
        <v>-0.2</v>
      </c>
      <c r="I20" s="227" t="n">
        <v>0</v>
      </c>
      <c r="J20" s="227" t="n">
        <v>0.455</v>
      </c>
      <c r="K20" s="227" t="n">
        <v>-0.14</v>
      </c>
      <c r="L20" s="227" t="n">
        <v>0</v>
      </c>
      <c r="M20" s="227" t="n">
        <v>0.455</v>
      </c>
      <c r="N20" s="227" t="n">
        <v>-0.2775</v>
      </c>
      <c r="O20" s="227" t="n">
        <v>0.0275</v>
      </c>
      <c r="P20" s="227" t="n">
        <v>0.455</v>
      </c>
      <c r="Q20" s="227" t="n">
        <v>-0.2775</v>
      </c>
      <c r="R20" s="227" t="n">
        <v>0</v>
      </c>
      <c r="S20" s="227" t="n">
        <v>-0.3225</v>
      </c>
      <c r="T20" s="227" t="n">
        <v>0.051</v>
      </c>
      <c r="U20" s="227" t="n">
        <v>-0.3225</v>
      </c>
      <c r="V20" s="227" t="n">
        <v>0.03</v>
      </c>
      <c r="W20" s="227" t="n">
        <v>-0.42</v>
      </c>
      <c r="X20" s="227" t="n">
        <v>-0.0013218313034731</v>
      </c>
      <c r="Y20" s="227" t="n">
        <v>0.34</v>
      </c>
      <c r="Z20" s="227" t="n">
        <v>0.06</v>
      </c>
      <c r="AA20" s="227" t="n">
        <v>0.464</v>
      </c>
      <c r="AB20" s="227" t="n">
        <v>0.1</v>
      </c>
      <c r="AC20" s="227" t="n">
        <v>0.04</v>
      </c>
      <c r="AD20" s="226" t="n">
        <v>0.155</v>
      </c>
      <c r="AE20" s="227" t="n">
        <v>0.02</v>
      </c>
      <c r="AF20" s="227" t="n">
        <v>0.455</v>
      </c>
      <c r="AG20" s="227" t="n">
        <v>0.33</v>
      </c>
      <c r="AH20" s="227" t="n">
        <v>0.04</v>
      </c>
      <c r="AI20" s="227" t="n">
        <v>0.13</v>
      </c>
      <c r="AJ20" s="227" t="n">
        <v>0.02</v>
      </c>
    </row>
    <row r="21" customFormat="false" ht="12.75" hidden="false" customHeight="false" outlineLevel="0" collapsed="false">
      <c r="B21" s="240"/>
      <c r="D21" s="226" t="n">
        <v>37622</v>
      </c>
      <c r="E21" s="227" t="n">
        <v>0.0239911924734941</v>
      </c>
      <c r="F21" s="227" t="n">
        <v>3.914</v>
      </c>
      <c r="G21" s="227" t="n">
        <v>0.455</v>
      </c>
      <c r="H21" s="227" t="n">
        <v>-0.2</v>
      </c>
      <c r="I21" s="227" t="n">
        <v>0</v>
      </c>
      <c r="J21" s="227" t="n">
        <v>0.455</v>
      </c>
      <c r="K21" s="227" t="n">
        <v>-0.1375</v>
      </c>
      <c r="L21" s="227" t="n">
        <v>0</v>
      </c>
      <c r="M21" s="227" t="n">
        <v>0.455</v>
      </c>
      <c r="N21" s="227" t="n">
        <v>-0.2775</v>
      </c>
      <c r="O21" s="227" t="n">
        <v>0.0275</v>
      </c>
      <c r="P21" s="227" t="n">
        <v>0.455</v>
      </c>
      <c r="Q21" s="227" t="n">
        <v>-0.2775</v>
      </c>
      <c r="R21" s="227" t="n">
        <v>0.025</v>
      </c>
      <c r="S21" s="227" t="n">
        <v>-0.3225</v>
      </c>
      <c r="T21" s="227" t="n">
        <v>0.051</v>
      </c>
      <c r="U21" s="227" t="n">
        <v>-0.3225</v>
      </c>
      <c r="V21" s="227" t="n">
        <v>0.03</v>
      </c>
      <c r="W21" s="227" t="n">
        <v>-0.42</v>
      </c>
      <c r="X21" s="227" t="n">
        <v>0.0052870927169073</v>
      </c>
      <c r="Y21" s="227" t="n">
        <v>0.37</v>
      </c>
      <c r="Z21" s="227" t="n">
        <v>0.06</v>
      </c>
      <c r="AA21" s="227" t="n">
        <v>0.464</v>
      </c>
      <c r="AB21" s="227" t="n">
        <v>0.165</v>
      </c>
      <c r="AC21" s="227" t="n">
        <v>0.04</v>
      </c>
      <c r="AD21" s="226" t="n">
        <v>0.145</v>
      </c>
      <c r="AE21" s="227" t="n">
        <v>0.02</v>
      </c>
      <c r="AF21" s="227" t="n">
        <v>0.455</v>
      </c>
      <c r="AG21" s="227" t="n">
        <v>0.475</v>
      </c>
      <c r="AH21" s="227" t="n">
        <v>0.04</v>
      </c>
      <c r="AI21" s="227" t="n">
        <v>0.275</v>
      </c>
      <c r="AJ21" s="227" t="n">
        <v>0.02</v>
      </c>
    </row>
    <row r="22" customFormat="false" ht="12.75" hidden="false" customHeight="false" outlineLevel="0" collapsed="false">
      <c r="B22" s="240"/>
      <c r="D22" s="226" t="n">
        <v>37653</v>
      </c>
      <c r="E22" s="227" t="n">
        <v>0.0245027617351585</v>
      </c>
      <c r="F22" s="227" t="n">
        <v>3.829</v>
      </c>
      <c r="G22" s="227" t="n">
        <v>0.4475</v>
      </c>
      <c r="H22" s="227" t="n">
        <v>-0.2</v>
      </c>
      <c r="I22" s="227" t="n">
        <v>0</v>
      </c>
      <c r="J22" s="227" t="n">
        <v>0.448</v>
      </c>
      <c r="K22" s="227" t="n">
        <v>-0.1375</v>
      </c>
      <c r="L22" s="227" t="n">
        <v>0</v>
      </c>
      <c r="M22" s="227" t="n">
        <v>0.448</v>
      </c>
      <c r="N22" s="227" t="n">
        <v>-0.2775</v>
      </c>
      <c r="O22" s="227" t="n">
        <v>0.0275</v>
      </c>
      <c r="P22" s="227" t="n">
        <v>0.448</v>
      </c>
      <c r="Q22" s="227" t="n">
        <v>-0.2775</v>
      </c>
      <c r="R22" s="227" t="n">
        <v>0.025</v>
      </c>
      <c r="S22" s="227" t="n">
        <v>-0.3225</v>
      </c>
      <c r="T22" s="227" t="n">
        <v>0.051</v>
      </c>
      <c r="U22" s="227" t="n">
        <v>-0.3225</v>
      </c>
      <c r="V22" s="227" t="n">
        <v>0.03</v>
      </c>
      <c r="W22" s="227" t="n">
        <v>-0.42</v>
      </c>
      <c r="X22" s="227" t="n">
        <v>0.0052866221208854</v>
      </c>
      <c r="Y22" s="227" t="n">
        <v>0.05</v>
      </c>
      <c r="Z22" s="227" t="n">
        <v>0.06</v>
      </c>
      <c r="AA22" s="227" t="n">
        <v>0.456</v>
      </c>
      <c r="AB22" s="227" t="n">
        <v>0.15</v>
      </c>
      <c r="AC22" s="227" t="n">
        <v>0.04</v>
      </c>
      <c r="AD22" s="226" t="n">
        <v>0.145</v>
      </c>
      <c r="AE22" s="227" t="n">
        <v>0.02</v>
      </c>
      <c r="AF22" s="227" t="n">
        <v>0.448</v>
      </c>
      <c r="AG22" s="227" t="n">
        <v>0.44</v>
      </c>
      <c r="AH22" s="227" t="n">
        <v>0.04</v>
      </c>
      <c r="AI22" s="227" t="n">
        <v>0.24</v>
      </c>
      <c r="AJ22" s="227" t="n">
        <v>0.02</v>
      </c>
    </row>
    <row r="23" customFormat="false" ht="12.75" hidden="false" customHeight="false" outlineLevel="0" collapsed="false">
      <c r="B23" s="240"/>
      <c r="D23" s="226" t="n">
        <v>37681</v>
      </c>
      <c r="E23" s="227" t="n">
        <v>0.024964824370131</v>
      </c>
      <c r="F23" s="227" t="n">
        <v>3.724</v>
      </c>
      <c r="G23" s="227" t="n">
        <v>0.425</v>
      </c>
      <c r="H23" s="227" t="n">
        <v>-0.2</v>
      </c>
      <c r="I23" s="227" t="n">
        <v>0</v>
      </c>
      <c r="J23" s="227" t="n">
        <v>0.425</v>
      </c>
      <c r="K23" s="227" t="n">
        <v>-0.1375</v>
      </c>
      <c r="L23" s="227" t="n">
        <v>0</v>
      </c>
      <c r="M23" s="227" t="n">
        <v>0.425</v>
      </c>
      <c r="N23" s="227" t="n">
        <v>-0.2775</v>
      </c>
      <c r="O23" s="227" t="n">
        <v>0.0275</v>
      </c>
      <c r="P23" s="227" t="n">
        <v>0.425</v>
      </c>
      <c r="Q23" s="227" t="n">
        <v>-0.2775</v>
      </c>
      <c r="R23" s="227" t="n">
        <v>0</v>
      </c>
      <c r="S23" s="227" t="n">
        <v>-0.3225</v>
      </c>
      <c r="T23" s="227" t="n">
        <v>0.031</v>
      </c>
      <c r="U23" s="227" t="n">
        <v>-0.3225</v>
      </c>
      <c r="V23" s="227" t="n">
        <v>0.03</v>
      </c>
      <c r="W23" s="227" t="n">
        <v>-0.42</v>
      </c>
      <c r="X23" s="227" t="n">
        <v>0.0052861888943512</v>
      </c>
      <c r="Y23" s="227" t="n">
        <v>-0.26</v>
      </c>
      <c r="Z23" s="227" t="n">
        <v>0.06</v>
      </c>
      <c r="AA23" s="227" t="n">
        <v>0.434</v>
      </c>
      <c r="AB23" s="227" t="n">
        <v>0.07</v>
      </c>
      <c r="AC23" s="227" t="n">
        <v>0.04</v>
      </c>
      <c r="AD23" s="226" t="n">
        <v>0.145</v>
      </c>
      <c r="AE23" s="227" t="n">
        <v>0.02</v>
      </c>
      <c r="AF23" s="227" t="n">
        <v>0.425</v>
      </c>
      <c r="AG23" s="227" t="n">
        <v>0.38</v>
      </c>
      <c r="AH23" s="227" t="n">
        <v>0.04</v>
      </c>
      <c r="AI23" s="227" t="n">
        <v>0.18</v>
      </c>
      <c r="AJ23" s="227" t="n">
        <v>0.02</v>
      </c>
    </row>
    <row r="24" customFormat="false" ht="12.75" hidden="false" customHeight="false" outlineLevel="0" collapsed="false">
      <c r="B24" s="240"/>
      <c r="D24" s="226" t="n">
        <v>37712</v>
      </c>
      <c r="E24" s="227" t="n">
        <v>0.0254890960619387</v>
      </c>
      <c r="F24" s="227" t="n">
        <v>3.599</v>
      </c>
      <c r="G24" s="227" t="n">
        <v>0.38</v>
      </c>
      <c r="H24" s="227" t="n">
        <v>-0.275</v>
      </c>
      <c r="I24" s="227" t="n">
        <v>0.0025</v>
      </c>
      <c r="J24" s="227" t="n">
        <v>0.38</v>
      </c>
      <c r="K24" s="227" t="n">
        <v>-0.105</v>
      </c>
      <c r="L24" s="227" t="n">
        <v>0.005</v>
      </c>
      <c r="M24" s="227" t="n">
        <v>0.38</v>
      </c>
      <c r="N24" s="227" t="n">
        <v>-0.455</v>
      </c>
      <c r="O24" s="227" t="n">
        <v>0.02</v>
      </c>
      <c r="P24" s="227" t="n">
        <v>0.38</v>
      </c>
      <c r="Q24" s="227" t="n">
        <v>-0.455</v>
      </c>
      <c r="R24" s="227" t="n">
        <v>0</v>
      </c>
      <c r="S24" s="227" t="n">
        <v>-0.545</v>
      </c>
      <c r="T24" s="227" t="n">
        <v>0.014</v>
      </c>
      <c r="U24" s="227" t="n">
        <v>-0.545</v>
      </c>
      <c r="V24" s="227" t="n">
        <v>0.01</v>
      </c>
      <c r="W24" s="227" t="n">
        <v>-0.435</v>
      </c>
      <c r="X24" s="227" t="n">
        <v>0.0016518105846614</v>
      </c>
      <c r="Y24" s="227" t="n">
        <v>-0.255</v>
      </c>
      <c r="Z24" s="227" t="n">
        <v>0.02</v>
      </c>
      <c r="AA24" s="227" t="n">
        <v>0.388</v>
      </c>
      <c r="AB24" s="227" t="n">
        <v>0.1</v>
      </c>
      <c r="AC24" s="227" t="n">
        <v>0.03</v>
      </c>
      <c r="AD24" s="226" t="n">
        <v>0.25</v>
      </c>
      <c r="AE24" s="227" t="n">
        <v>0.02</v>
      </c>
      <c r="AF24" s="227" t="n">
        <v>0.38</v>
      </c>
      <c r="AG24" s="227" t="n">
        <v>0.385</v>
      </c>
      <c r="AH24" s="227" t="n">
        <v>0.02</v>
      </c>
      <c r="AI24" s="227" t="n">
        <v>0.185</v>
      </c>
      <c r="AJ24" s="227" t="n">
        <v>0.01</v>
      </c>
    </row>
    <row r="25" customFormat="false" ht="12.75" hidden="false" customHeight="false" outlineLevel="0" collapsed="false">
      <c r="B25" s="240"/>
      <c r="C25" s="227"/>
      <c r="D25" s="226" t="n">
        <v>37742</v>
      </c>
      <c r="E25" s="227" t="n">
        <v>0.0260039984511446</v>
      </c>
      <c r="F25" s="227" t="n">
        <v>3.599</v>
      </c>
      <c r="G25" s="227" t="n">
        <v>0.3625</v>
      </c>
      <c r="H25" s="227" t="n">
        <v>-0.275</v>
      </c>
      <c r="I25" s="227" t="n">
        <v>0.0025</v>
      </c>
      <c r="J25" s="227" t="n">
        <v>0.363</v>
      </c>
      <c r="K25" s="227" t="n">
        <v>-0.105</v>
      </c>
      <c r="L25" s="227" t="n">
        <v>0.005</v>
      </c>
      <c r="M25" s="227" t="n">
        <v>0.363</v>
      </c>
      <c r="N25" s="227" t="n">
        <v>-0.455</v>
      </c>
      <c r="O25" s="227" t="n">
        <v>0.02</v>
      </c>
      <c r="P25" s="227" t="n">
        <v>0.363</v>
      </c>
      <c r="Q25" s="227" t="n">
        <v>-0.455</v>
      </c>
      <c r="R25" s="227" t="n">
        <v>0</v>
      </c>
      <c r="S25" s="227" t="n">
        <v>-0.545</v>
      </c>
      <c r="T25" s="227" t="n">
        <v>0.014</v>
      </c>
      <c r="U25" s="227" t="n">
        <v>-0.545</v>
      </c>
      <c r="V25" s="227" t="n">
        <v>0.01</v>
      </c>
      <c r="W25" s="227" t="n">
        <v>-0.435</v>
      </c>
      <c r="X25" s="227" t="n">
        <v>0.0016517100112709</v>
      </c>
      <c r="Y25" s="227" t="n">
        <v>-0.255</v>
      </c>
      <c r="Z25" s="227" t="n">
        <v>0.02</v>
      </c>
      <c r="AA25" s="227" t="n">
        <v>0.37</v>
      </c>
      <c r="AB25" s="227" t="n">
        <v>0.1</v>
      </c>
      <c r="AC25" s="227" t="n">
        <v>0.03</v>
      </c>
      <c r="AD25" s="226" t="n">
        <v>0.25</v>
      </c>
      <c r="AE25" s="227" t="n">
        <v>0.02</v>
      </c>
      <c r="AF25" s="227" t="n">
        <v>0.363</v>
      </c>
      <c r="AG25" s="227" t="n">
        <v>0.385</v>
      </c>
      <c r="AH25" s="227" t="n">
        <v>0.02</v>
      </c>
      <c r="AI25" s="227" t="n">
        <v>0.185</v>
      </c>
      <c r="AJ25" s="227" t="n">
        <v>0.01</v>
      </c>
    </row>
    <row r="26" customFormat="false" ht="12.75" hidden="false" customHeight="false" outlineLevel="0" collapsed="false">
      <c r="B26" s="240"/>
      <c r="D26" s="226" t="n">
        <v>37773</v>
      </c>
      <c r="E26" s="227" t="n">
        <v>0.0265360643474213</v>
      </c>
      <c r="F26" s="227" t="n">
        <v>3.624</v>
      </c>
      <c r="G26" s="227" t="n">
        <v>0.3575</v>
      </c>
      <c r="H26" s="227" t="n">
        <v>-0.275</v>
      </c>
      <c r="I26" s="227" t="n">
        <v>0.0025</v>
      </c>
      <c r="J26" s="227" t="n">
        <v>0.358</v>
      </c>
      <c r="K26" s="227" t="n">
        <v>-0.105</v>
      </c>
      <c r="L26" s="227" t="n">
        <v>0.005</v>
      </c>
      <c r="M26" s="227" t="n">
        <v>0.358</v>
      </c>
      <c r="N26" s="227" t="n">
        <v>-0.455</v>
      </c>
      <c r="O26" s="227" t="n">
        <v>0.02</v>
      </c>
      <c r="P26" s="227" t="n">
        <v>0.358</v>
      </c>
      <c r="Q26" s="227" t="n">
        <v>-0.455</v>
      </c>
      <c r="R26" s="227" t="n">
        <v>0</v>
      </c>
      <c r="S26" s="227" t="n">
        <v>-0.545</v>
      </c>
      <c r="T26" s="227" t="n">
        <v>0.014</v>
      </c>
      <c r="U26" s="227" t="n">
        <v>-0.545</v>
      </c>
      <c r="V26" s="227" t="n">
        <v>0.01</v>
      </c>
      <c r="W26" s="227" t="n">
        <v>-0.435</v>
      </c>
      <c r="X26" s="227" t="n">
        <v>0.0016516087162973</v>
      </c>
      <c r="Y26" s="227" t="n">
        <v>-0.255</v>
      </c>
      <c r="Z26" s="227" t="n">
        <v>0.02</v>
      </c>
      <c r="AA26" s="227" t="n">
        <v>0.365</v>
      </c>
      <c r="AB26" s="227" t="n">
        <v>0.1</v>
      </c>
      <c r="AC26" s="227" t="n">
        <v>0.03</v>
      </c>
      <c r="AD26" s="226" t="n">
        <v>0.25</v>
      </c>
      <c r="AE26" s="227" t="n">
        <v>0.02</v>
      </c>
      <c r="AF26" s="227" t="n">
        <v>0.358</v>
      </c>
      <c r="AG26" s="227" t="n">
        <v>0.385</v>
      </c>
      <c r="AH26" s="227" t="n">
        <v>0.02</v>
      </c>
      <c r="AI26" s="227" t="n">
        <v>0.185</v>
      </c>
      <c r="AJ26" s="227" t="n">
        <v>0.01</v>
      </c>
    </row>
    <row r="27" customFormat="false" ht="12.75" hidden="false" customHeight="false" outlineLevel="0" collapsed="false">
      <c r="B27" s="240"/>
      <c r="D27" s="226" t="n">
        <v>37803</v>
      </c>
      <c r="E27" s="227" t="n">
        <v>0.0270613807895188</v>
      </c>
      <c r="F27" s="227" t="n">
        <v>3.659</v>
      </c>
      <c r="G27" s="227" t="n">
        <v>0.3575</v>
      </c>
      <c r="H27" s="227" t="n">
        <v>-0.275</v>
      </c>
      <c r="I27" s="227" t="n">
        <v>0.0025</v>
      </c>
      <c r="J27" s="227" t="n">
        <v>0.358</v>
      </c>
      <c r="K27" s="227" t="n">
        <v>-0.105</v>
      </c>
      <c r="L27" s="227" t="n">
        <v>0.005</v>
      </c>
      <c r="M27" s="227" t="n">
        <v>0.358</v>
      </c>
      <c r="N27" s="227" t="n">
        <v>-0.455</v>
      </c>
      <c r="O27" s="227" t="n">
        <v>0.02</v>
      </c>
      <c r="P27" s="227" t="n">
        <v>0.358</v>
      </c>
      <c r="Q27" s="227" t="n">
        <v>-0.455</v>
      </c>
      <c r="R27" s="227" t="n">
        <v>0</v>
      </c>
      <c r="S27" s="227" t="n">
        <v>-0.545</v>
      </c>
      <c r="T27" s="227" t="n">
        <v>0.014</v>
      </c>
      <c r="U27" s="227" t="n">
        <v>-0.545</v>
      </c>
      <c r="V27" s="227" t="n">
        <v>0.01</v>
      </c>
      <c r="W27" s="227" t="n">
        <v>-0.435</v>
      </c>
      <c r="X27" s="227" t="n">
        <v>0.0016515414332528</v>
      </c>
      <c r="Y27" s="227" t="n">
        <v>-0.255</v>
      </c>
      <c r="Z27" s="227" t="n">
        <v>0.02</v>
      </c>
      <c r="AA27" s="227" t="n">
        <v>0.365</v>
      </c>
      <c r="AB27" s="227" t="n">
        <v>0.1</v>
      </c>
      <c r="AC27" s="227" t="n">
        <v>0.03</v>
      </c>
      <c r="AD27" s="226" t="n">
        <v>0.25</v>
      </c>
      <c r="AE27" s="227" t="n">
        <v>0.02</v>
      </c>
      <c r="AF27" s="227" t="n">
        <v>0.358</v>
      </c>
      <c r="AG27" s="227" t="n">
        <v>0.43</v>
      </c>
      <c r="AH27" s="227" t="n">
        <v>0.02</v>
      </c>
      <c r="AI27" s="227" t="n">
        <v>0.23</v>
      </c>
      <c r="AJ27" s="227" t="n">
        <v>0.01</v>
      </c>
    </row>
    <row r="28" customFormat="false" ht="12.75" hidden="false" customHeight="false" outlineLevel="0" collapsed="false">
      <c r="B28" s="240"/>
      <c r="D28" s="226" t="n">
        <v>37834</v>
      </c>
      <c r="E28" s="227" t="n">
        <v>0.0276191197504199</v>
      </c>
      <c r="F28" s="227" t="n">
        <v>3.694</v>
      </c>
      <c r="G28" s="227" t="n">
        <v>0.3575</v>
      </c>
      <c r="H28" s="227" t="n">
        <v>-0.275</v>
      </c>
      <c r="I28" s="227" t="n">
        <v>0.0025</v>
      </c>
      <c r="J28" s="227" t="n">
        <v>0.358</v>
      </c>
      <c r="K28" s="227" t="n">
        <v>-0.105</v>
      </c>
      <c r="L28" s="227" t="n">
        <v>0.005</v>
      </c>
      <c r="M28" s="227" t="n">
        <v>0.358</v>
      </c>
      <c r="N28" s="227" t="n">
        <v>-0.455</v>
      </c>
      <c r="O28" s="227" t="n">
        <v>0.02</v>
      </c>
      <c r="P28" s="227" t="n">
        <v>0.358</v>
      </c>
      <c r="Q28" s="227" t="n">
        <v>-0.455</v>
      </c>
      <c r="R28" s="227" t="n">
        <v>0</v>
      </c>
      <c r="S28" s="227" t="n">
        <v>-0.545</v>
      </c>
      <c r="T28" s="227" t="n">
        <v>0.014</v>
      </c>
      <c r="U28" s="227" t="n">
        <v>-0.545</v>
      </c>
      <c r="V28" s="227" t="n">
        <v>0.01</v>
      </c>
      <c r="W28" s="227" t="n">
        <v>-0.435</v>
      </c>
      <c r="X28" s="227" t="n">
        <v>0.001651519874212</v>
      </c>
      <c r="Y28" s="227" t="n">
        <v>-0.255</v>
      </c>
      <c r="Z28" s="227" t="n">
        <v>0.02</v>
      </c>
      <c r="AA28" s="227" t="n">
        <v>0.365</v>
      </c>
      <c r="AB28" s="227" t="n">
        <v>0.1</v>
      </c>
      <c r="AC28" s="227" t="n">
        <v>0.03</v>
      </c>
      <c r="AD28" s="226" t="n">
        <v>0.25</v>
      </c>
      <c r="AE28" s="227" t="n">
        <v>0.02</v>
      </c>
      <c r="AF28" s="227" t="n">
        <v>0.358</v>
      </c>
      <c r="AG28" s="227" t="n">
        <v>0.45</v>
      </c>
      <c r="AH28" s="227" t="n">
        <v>0.02</v>
      </c>
      <c r="AI28" s="227" t="n">
        <v>0.25</v>
      </c>
      <c r="AJ28" s="227" t="n">
        <v>0.01</v>
      </c>
    </row>
    <row r="29" customFormat="false" ht="13.5" hidden="false" customHeight="false" outlineLevel="0" collapsed="false">
      <c r="B29" s="241"/>
      <c r="D29" s="226" t="n">
        <v>37865</v>
      </c>
      <c r="E29" s="227" t="n">
        <v>0.0281768588163303</v>
      </c>
      <c r="F29" s="227" t="n">
        <v>3.701</v>
      </c>
      <c r="G29" s="227" t="n">
        <v>0.3575</v>
      </c>
      <c r="H29" s="227" t="n">
        <v>-0.275</v>
      </c>
      <c r="I29" s="227" t="n">
        <v>0.0025</v>
      </c>
      <c r="J29" s="227" t="n">
        <v>0.358</v>
      </c>
      <c r="K29" s="227" t="n">
        <v>-0.105</v>
      </c>
      <c r="L29" s="227" t="n">
        <v>0.005</v>
      </c>
      <c r="M29" s="227" t="n">
        <v>0.358</v>
      </c>
      <c r="N29" s="227" t="n">
        <v>-0.455</v>
      </c>
      <c r="O29" s="227" t="n">
        <v>0.02</v>
      </c>
      <c r="P29" s="227" t="n">
        <v>0.358</v>
      </c>
      <c r="Q29" s="227" t="n">
        <v>-0.455</v>
      </c>
      <c r="R29" s="227" t="n">
        <v>0</v>
      </c>
      <c r="S29" s="227" t="n">
        <v>-0.545</v>
      </c>
      <c r="T29" s="227" t="n">
        <v>0.014</v>
      </c>
      <c r="U29" s="227" t="n">
        <v>-0.545</v>
      </c>
      <c r="V29" s="227" t="n">
        <v>0.0125</v>
      </c>
      <c r="W29" s="227" t="n">
        <v>-0.435</v>
      </c>
      <c r="X29" s="227" t="n">
        <v>0.001651508033785</v>
      </c>
      <c r="Y29" s="227" t="n">
        <v>-0.255</v>
      </c>
      <c r="Z29" s="227" t="n">
        <v>0.02</v>
      </c>
      <c r="AA29" s="227" t="n">
        <v>0.365</v>
      </c>
      <c r="AB29" s="227" t="n">
        <v>0.1</v>
      </c>
      <c r="AC29" s="227" t="n">
        <v>0.03</v>
      </c>
      <c r="AD29" s="226" t="n">
        <v>0.25</v>
      </c>
      <c r="AE29" s="227" t="n">
        <v>0.02</v>
      </c>
      <c r="AF29" s="227" t="n">
        <v>0.358</v>
      </c>
      <c r="AG29" s="227" t="n">
        <v>0.42</v>
      </c>
      <c r="AH29" s="227" t="n">
        <v>0.02</v>
      </c>
      <c r="AI29" s="227" t="n">
        <v>0.22</v>
      </c>
      <c r="AJ29" s="227" t="n">
        <v>0.01</v>
      </c>
    </row>
    <row r="30" customFormat="false" ht="12.75" hidden="false" customHeight="false" outlineLevel="0" collapsed="false">
      <c r="D30" s="226" t="n">
        <v>37895</v>
      </c>
      <c r="E30" s="227" t="n">
        <v>0.0287150370070641</v>
      </c>
      <c r="F30" s="227" t="n">
        <v>3.729</v>
      </c>
      <c r="G30" s="227" t="n">
        <v>0.3575</v>
      </c>
      <c r="H30" s="227" t="n">
        <v>-0.275</v>
      </c>
      <c r="I30" s="227" t="n">
        <v>0.0025</v>
      </c>
      <c r="J30" s="227" t="n">
        <v>0.358</v>
      </c>
      <c r="K30" s="227" t="n">
        <v>-0.105</v>
      </c>
      <c r="L30" s="227" t="n">
        <v>0.005</v>
      </c>
      <c r="M30" s="227" t="n">
        <v>0.358</v>
      </c>
      <c r="N30" s="227" t="n">
        <v>-0.455</v>
      </c>
      <c r="O30" s="227" t="n">
        <v>0.02</v>
      </c>
      <c r="P30" s="227" t="n">
        <v>0.358</v>
      </c>
      <c r="Q30" s="227" t="n">
        <v>-0.455</v>
      </c>
      <c r="R30" s="227" t="n">
        <v>0</v>
      </c>
      <c r="S30" s="227" t="n">
        <v>-0.545</v>
      </c>
      <c r="T30" s="227" t="n">
        <v>0.014</v>
      </c>
      <c r="U30" s="227" t="n">
        <v>-0.545</v>
      </c>
      <c r="V30" s="227" t="n">
        <v>0.03</v>
      </c>
      <c r="W30" s="227" t="n">
        <v>-0.435</v>
      </c>
      <c r="X30" s="227" t="n">
        <v>0.0016515009312422</v>
      </c>
      <c r="Y30" s="227" t="n">
        <v>-0.255</v>
      </c>
      <c r="Z30" s="227" t="n">
        <v>0.02</v>
      </c>
      <c r="AA30" s="227" t="n">
        <v>0.365</v>
      </c>
      <c r="AB30" s="227" t="n">
        <v>0.1</v>
      </c>
      <c r="AC30" s="227" t="n">
        <v>0.03</v>
      </c>
      <c r="AD30" s="226" t="n">
        <v>0.25</v>
      </c>
      <c r="AE30" s="227" t="n">
        <v>0.02</v>
      </c>
      <c r="AF30" s="227" t="n">
        <v>0.358</v>
      </c>
      <c r="AG30" s="227" t="n">
        <v>0.42</v>
      </c>
      <c r="AH30" s="227" t="n">
        <v>0.02</v>
      </c>
      <c r="AI30" s="227" t="n">
        <v>0.22</v>
      </c>
      <c r="AJ30" s="227" t="n">
        <v>0.01</v>
      </c>
    </row>
    <row r="31" customFormat="false" ht="12.75" hidden="false" customHeight="false" outlineLevel="0" collapsed="false">
      <c r="D31" s="226" t="n">
        <v>37926</v>
      </c>
      <c r="E31" s="227" t="n">
        <v>0.0292691920847168</v>
      </c>
      <c r="F31" s="227" t="n">
        <v>3.902</v>
      </c>
      <c r="G31" s="227" t="n">
        <v>0.3575</v>
      </c>
      <c r="H31" s="227" t="n">
        <v>-0.155</v>
      </c>
      <c r="I31" s="227" t="n">
        <v>0.005</v>
      </c>
      <c r="J31" s="227" t="n">
        <v>0.358</v>
      </c>
      <c r="K31" s="227" t="n">
        <v>-0.105</v>
      </c>
      <c r="L31" s="227" t="n">
        <v>0.005</v>
      </c>
      <c r="M31" s="227" t="n">
        <v>0.358</v>
      </c>
      <c r="N31" s="227" t="n">
        <v>-0.25</v>
      </c>
      <c r="O31" s="227" t="n">
        <v>0.03</v>
      </c>
      <c r="P31" s="227" t="n">
        <v>0.358</v>
      </c>
      <c r="Q31" s="227" t="n">
        <v>-0.25</v>
      </c>
      <c r="R31" s="227" t="n">
        <v>0.14</v>
      </c>
      <c r="S31" s="227" t="n">
        <v>-0.33</v>
      </c>
      <c r="T31" s="227" t="n">
        <v>0.154</v>
      </c>
      <c r="U31" s="227" t="n">
        <v>-0.33</v>
      </c>
      <c r="V31" s="227" t="n">
        <v>0.03</v>
      </c>
      <c r="W31" s="227" t="n">
        <v>-0.4</v>
      </c>
      <c r="X31" s="227" t="n">
        <v>0.0052847882115411</v>
      </c>
      <c r="Y31" s="227" t="n">
        <v>0.095</v>
      </c>
      <c r="Z31" s="227" t="n">
        <v>0.06</v>
      </c>
      <c r="AA31" s="227" t="n">
        <v>0.365</v>
      </c>
      <c r="AB31" s="227" t="n">
        <v>0.25</v>
      </c>
      <c r="AC31" s="227" t="n">
        <v>0.04</v>
      </c>
      <c r="AD31" s="226" t="n">
        <v>0.24</v>
      </c>
      <c r="AE31" s="227" t="n">
        <v>0.03</v>
      </c>
      <c r="AF31" s="227" t="n">
        <v>0.358</v>
      </c>
      <c r="AG31" s="227" t="n">
        <v>0.475</v>
      </c>
      <c r="AH31" s="227" t="n">
        <v>0.03</v>
      </c>
      <c r="AI31" s="227" t="n">
        <v>0.275</v>
      </c>
      <c r="AJ31" s="227" t="n">
        <v>0.01</v>
      </c>
    </row>
    <row r="32" customFormat="false" ht="12.75" hidden="false" customHeight="false" outlineLevel="0" collapsed="false">
      <c r="D32" s="226" t="n">
        <v>37956</v>
      </c>
      <c r="E32" s="227" t="n">
        <v>0.0298054712907447</v>
      </c>
      <c r="F32" s="227" t="n">
        <v>4.054</v>
      </c>
      <c r="G32" s="227" t="n">
        <v>0.3575</v>
      </c>
      <c r="H32" s="227" t="n">
        <v>-0.155</v>
      </c>
      <c r="I32" s="227" t="n">
        <v>0.005</v>
      </c>
      <c r="J32" s="227" t="n">
        <v>0.358</v>
      </c>
      <c r="K32" s="227" t="n">
        <v>-0.105</v>
      </c>
      <c r="L32" s="227" t="n">
        <v>0.005</v>
      </c>
      <c r="M32" s="227" t="n">
        <v>0.358</v>
      </c>
      <c r="N32" s="227" t="n">
        <v>-0.25</v>
      </c>
      <c r="O32" s="227" t="n">
        <v>0.03</v>
      </c>
      <c r="P32" s="227" t="n">
        <v>0.358</v>
      </c>
      <c r="Q32" s="227" t="n">
        <v>-0.25</v>
      </c>
      <c r="R32" s="227" t="n">
        <v>0</v>
      </c>
      <c r="S32" s="227" t="n">
        <v>-0.33</v>
      </c>
      <c r="T32" s="227" t="n">
        <v>0.053</v>
      </c>
      <c r="U32" s="227" t="n">
        <v>-0.33</v>
      </c>
      <c r="V32" s="227" t="n">
        <v>0.03</v>
      </c>
      <c r="W32" s="227" t="n">
        <v>-0.4</v>
      </c>
      <c r="X32" s="227" t="n">
        <v>0.0052850480328716</v>
      </c>
      <c r="Y32" s="227" t="n">
        <v>0.435</v>
      </c>
      <c r="Z32" s="227" t="n">
        <v>0.06</v>
      </c>
      <c r="AA32" s="227" t="n">
        <v>0.365</v>
      </c>
      <c r="AB32" s="227" t="n">
        <v>0.25</v>
      </c>
      <c r="AC32" s="227" t="n">
        <v>0.04</v>
      </c>
      <c r="AD32" s="226" t="n">
        <v>0.24</v>
      </c>
      <c r="AE32" s="227" t="n">
        <v>0.03</v>
      </c>
      <c r="AF32" s="227" t="n">
        <v>0.358</v>
      </c>
      <c r="AG32" s="227" t="n">
        <v>0.51</v>
      </c>
      <c r="AH32" s="227" t="n">
        <v>0.03</v>
      </c>
      <c r="AI32" s="227" t="n">
        <v>0.31</v>
      </c>
      <c r="AJ32" s="227" t="n">
        <v>0.01</v>
      </c>
    </row>
    <row r="33" customFormat="false" ht="12.75" hidden="false" customHeight="false" outlineLevel="0" collapsed="false">
      <c r="D33" s="226" t="n">
        <v>37987</v>
      </c>
      <c r="E33" s="227" t="n">
        <v>0.0303617015964996</v>
      </c>
      <c r="F33" s="227" t="n">
        <v>4.104</v>
      </c>
      <c r="G33" s="227" t="n">
        <v>0.3525</v>
      </c>
      <c r="H33" s="227" t="n">
        <v>-0.155</v>
      </c>
      <c r="I33" s="227" t="n">
        <v>0.005</v>
      </c>
      <c r="J33" s="227" t="n">
        <v>0.353</v>
      </c>
      <c r="K33" s="227" t="n">
        <v>-0.095</v>
      </c>
      <c r="L33" s="227" t="n">
        <v>0.005</v>
      </c>
      <c r="M33" s="227" t="n">
        <v>0.353</v>
      </c>
      <c r="N33" s="227" t="n">
        <v>-0.25</v>
      </c>
      <c r="O33" s="227" t="n">
        <v>0.03</v>
      </c>
      <c r="P33" s="227" t="n">
        <v>0.353</v>
      </c>
      <c r="Q33" s="227" t="n">
        <v>-0.25</v>
      </c>
      <c r="R33" s="227" t="n">
        <v>0.025</v>
      </c>
      <c r="S33" s="227" t="n">
        <v>-0.33</v>
      </c>
      <c r="T33" s="227" t="n">
        <v>0.053</v>
      </c>
      <c r="U33" s="227" t="n">
        <v>-0.33</v>
      </c>
      <c r="V33" s="227" t="n">
        <v>0.03</v>
      </c>
      <c r="W33" s="227" t="n">
        <v>-0.4</v>
      </c>
      <c r="X33" s="227" t="n">
        <v>0.0052854067524852</v>
      </c>
      <c r="Y33" s="227" t="n">
        <v>0.465</v>
      </c>
      <c r="Z33" s="227" t="n">
        <v>0.06</v>
      </c>
      <c r="AA33" s="227" t="n">
        <v>0.36</v>
      </c>
      <c r="AB33" s="227" t="n">
        <v>0.28</v>
      </c>
      <c r="AC33" s="227" t="n">
        <v>0.04</v>
      </c>
      <c r="AD33" s="226" t="n">
        <v>0.24</v>
      </c>
      <c r="AE33" s="227" t="n">
        <v>0.03</v>
      </c>
      <c r="AF33" s="227" t="n">
        <v>0.353</v>
      </c>
      <c r="AG33" s="227" t="n">
        <v>0.52</v>
      </c>
      <c r="AH33" s="227" t="n">
        <v>0.03</v>
      </c>
      <c r="AI33" s="227" t="n">
        <v>0.32</v>
      </c>
      <c r="AJ33" s="227" t="n">
        <v>0.01</v>
      </c>
    </row>
    <row r="34" customFormat="false" ht="12.75" hidden="false" customHeight="false" outlineLevel="0" collapsed="false">
      <c r="D34" s="226" t="n">
        <v>38018</v>
      </c>
      <c r="E34" s="227" t="n">
        <v>0.0309201453662364</v>
      </c>
      <c r="F34" s="227" t="n">
        <v>4.016</v>
      </c>
      <c r="G34" s="227" t="n">
        <v>0.3475</v>
      </c>
      <c r="H34" s="227" t="n">
        <v>-0.155</v>
      </c>
      <c r="I34" s="227" t="n">
        <v>0.005</v>
      </c>
      <c r="J34" s="227" t="n">
        <v>0.348</v>
      </c>
      <c r="K34" s="227" t="n">
        <v>-0.095</v>
      </c>
      <c r="L34" s="227" t="n">
        <v>0.005</v>
      </c>
      <c r="M34" s="227" t="n">
        <v>0.348</v>
      </c>
      <c r="N34" s="227" t="n">
        <v>-0.25</v>
      </c>
      <c r="O34" s="227" t="n">
        <v>0.03</v>
      </c>
      <c r="P34" s="227" t="n">
        <v>0.348</v>
      </c>
      <c r="Q34" s="227" t="n">
        <v>-0.25</v>
      </c>
      <c r="R34" s="227" t="n">
        <v>0.025</v>
      </c>
      <c r="S34" s="227" t="n">
        <v>-0.33</v>
      </c>
      <c r="T34" s="227" t="n">
        <v>0.053</v>
      </c>
      <c r="U34" s="227" t="n">
        <v>-0.33</v>
      </c>
      <c r="V34" s="227" t="n">
        <v>0.03</v>
      </c>
      <c r="W34" s="227" t="n">
        <v>-0.4</v>
      </c>
      <c r="X34" s="227" t="n">
        <v>0.005285843290144</v>
      </c>
      <c r="Y34" s="227" t="n">
        <v>0.145</v>
      </c>
      <c r="Z34" s="227" t="n">
        <v>0.06</v>
      </c>
      <c r="AA34" s="227" t="n">
        <v>0.354</v>
      </c>
      <c r="AB34" s="227" t="n">
        <v>0.28</v>
      </c>
      <c r="AC34" s="227" t="n">
        <v>0.04</v>
      </c>
      <c r="AD34" s="226" t="n">
        <v>0.24</v>
      </c>
      <c r="AE34" s="227" t="n">
        <v>0.03</v>
      </c>
      <c r="AF34" s="227" t="n">
        <v>0.348</v>
      </c>
      <c r="AG34" s="227" t="n">
        <v>0.47</v>
      </c>
      <c r="AH34" s="227" t="n">
        <v>0.03</v>
      </c>
      <c r="AI34" s="227" t="n">
        <v>0.27</v>
      </c>
      <c r="AJ34" s="227" t="n">
        <v>0.01</v>
      </c>
    </row>
    <row r="35" customFormat="false" ht="12.75" hidden="false" customHeight="false" outlineLevel="0" collapsed="false">
      <c r="D35" s="226" t="n">
        <v>38047</v>
      </c>
      <c r="E35" s="227" t="n">
        <v>0.0314425606008193</v>
      </c>
      <c r="F35" s="227" t="n">
        <v>3.877</v>
      </c>
      <c r="G35" s="227" t="n">
        <v>0.335</v>
      </c>
      <c r="H35" s="227" t="n">
        <v>-0.155</v>
      </c>
      <c r="I35" s="227" t="n">
        <v>0.005</v>
      </c>
      <c r="J35" s="227" t="n">
        <v>0.335</v>
      </c>
      <c r="K35" s="227" t="n">
        <v>-0.095</v>
      </c>
      <c r="L35" s="227" t="n">
        <v>0.005</v>
      </c>
      <c r="M35" s="227" t="n">
        <v>0.335</v>
      </c>
      <c r="N35" s="227" t="n">
        <v>-0.25</v>
      </c>
      <c r="O35" s="227" t="n">
        <v>0.03</v>
      </c>
      <c r="P35" s="227" t="n">
        <v>0.335</v>
      </c>
      <c r="Q35" s="227" t="n">
        <v>-0.25</v>
      </c>
      <c r="R35" s="227" t="n">
        <v>0</v>
      </c>
      <c r="S35" s="227" t="n">
        <v>-0.33</v>
      </c>
      <c r="T35" s="227" t="n">
        <v>0.033</v>
      </c>
      <c r="U35" s="227" t="n">
        <v>-0.33</v>
      </c>
      <c r="V35" s="227" t="n">
        <v>0.03</v>
      </c>
      <c r="W35" s="227" t="n">
        <v>-0.4</v>
      </c>
      <c r="X35" s="227" t="n">
        <v>0.0052863003762092</v>
      </c>
      <c r="Y35" s="227" t="n">
        <v>-0.165</v>
      </c>
      <c r="Z35" s="227" t="n">
        <v>0.06</v>
      </c>
      <c r="AA35" s="227" t="n">
        <v>0.342</v>
      </c>
      <c r="AB35" s="227" t="n">
        <v>0.28</v>
      </c>
      <c r="AC35" s="227" t="n">
        <v>0.04</v>
      </c>
      <c r="AD35" s="226" t="n">
        <v>0.24</v>
      </c>
      <c r="AE35" s="227" t="n">
        <v>0.03</v>
      </c>
      <c r="AF35" s="227" t="n">
        <v>0.335</v>
      </c>
      <c r="AG35" s="227" t="n">
        <v>0.46</v>
      </c>
      <c r="AH35" s="227" t="n">
        <v>0.03</v>
      </c>
      <c r="AI35" s="227" t="n">
        <v>0.26</v>
      </c>
      <c r="AJ35" s="227" t="n">
        <v>0.01</v>
      </c>
    </row>
    <row r="36" customFormat="false" ht="12.75" hidden="false" customHeight="false" outlineLevel="0" collapsed="false">
      <c r="D36" s="226" t="n">
        <v>38078</v>
      </c>
      <c r="E36" s="227" t="n">
        <v>0.0319716580728255</v>
      </c>
      <c r="F36" s="227" t="n">
        <v>3.723</v>
      </c>
      <c r="G36" s="227" t="n">
        <v>0.3075</v>
      </c>
      <c r="H36" s="227" t="n">
        <v>-0.22</v>
      </c>
      <c r="I36" s="227" t="n">
        <v>0.0025</v>
      </c>
      <c r="J36" s="227" t="n">
        <v>0.308</v>
      </c>
      <c r="K36" s="227" t="n">
        <v>-0.095</v>
      </c>
      <c r="L36" s="227" t="n">
        <v>0.005</v>
      </c>
      <c r="M36" s="227" t="n">
        <v>0.308</v>
      </c>
      <c r="N36" s="227" t="n">
        <v>-0.37</v>
      </c>
      <c r="O36" s="227" t="n">
        <v>0.02</v>
      </c>
      <c r="P36" s="227" t="n">
        <v>0.308</v>
      </c>
      <c r="Q36" s="227" t="n">
        <v>-0.37</v>
      </c>
      <c r="R36" s="227" t="n">
        <v>0</v>
      </c>
      <c r="S36" s="227" t="n">
        <v>-0.46</v>
      </c>
      <c r="T36" s="227" t="n">
        <v>0.016</v>
      </c>
      <c r="U36" s="227" t="n">
        <v>-0.46</v>
      </c>
      <c r="V36" s="227" t="n">
        <v>0.01</v>
      </c>
      <c r="W36" s="227" t="n">
        <v>-0.43</v>
      </c>
      <c r="X36" s="227" t="n">
        <v>0.001652022589832</v>
      </c>
      <c r="Y36" s="227" t="n">
        <v>-0.3</v>
      </c>
      <c r="Z36" s="227" t="n">
        <v>0.02</v>
      </c>
      <c r="AA36" s="227" t="n">
        <v>0.314</v>
      </c>
      <c r="AB36" s="227" t="n">
        <v>0.165</v>
      </c>
      <c r="AC36" s="227" t="n">
        <v>0.03</v>
      </c>
      <c r="AD36" s="226" t="n">
        <v>0.26</v>
      </c>
      <c r="AE36" s="227" t="n">
        <v>0.03</v>
      </c>
      <c r="AF36" s="227" t="n">
        <v>0.308</v>
      </c>
      <c r="AG36" s="227" t="n">
        <v>0.44</v>
      </c>
      <c r="AH36" s="227" t="n">
        <v>0.03</v>
      </c>
      <c r="AI36" s="227" t="n">
        <v>0.24</v>
      </c>
      <c r="AJ36" s="227" t="n">
        <v>0</v>
      </c>
    </row>
    <row r="37" customFormat="false" ht="12.75" hidden="false" customHeight="false" outlineLevel="0" collapsed="false">
      <c r="D37" s="226" t="n">
        <v>38108</v>
      </c>
      <c r="E37" s="227" t="n">
        <v>0.0324533948068528</v>
      </c>
      <c r="F37" s="227" t="n">
        <v>3.728</v>
      </c>
      <c r="G37" s="227" t="n">
        <v>0.3025</v>
      </c>
      <c r="H37" s="227" t="n">
        <v>-0.22</v>
      </c>
      <c r="I37" s="227" t="n">
        <v>0.0025</v>
      </c>
      <c r="J37" s="227" t="n">
        <v>0.303</v>
      </c>
      <c r="K37" s="227" t="n">
        <v>-0.095</v>
      </c>
      <c r="L37" s="227" t="n">
        <v>0.005</v>
      </c>
      <c r="M37" s="227" t="n">
        <v>0.303</v>
      </c>
      <c r="N37" s="227" t="n">
        <v>-0.37</v>
      </c>
      <c r="O37" s="227" t="n">
        <v>0.02</v>
      </c>
      <c r="P37" s="227" t="n">
        <v>0.303</v>
      </c>
      <c r="Q37" s="227" t="n">
        <v>-0.37</v>
      </c>
      <c r="R37" s="227" t="n">
        <v>0</v>
      </c>
      <c r="S37" s="227" t="n">
        <v>-0.46</v>
      </c>
      <c r="T37" s="227" t="n">
        <v>0.016</v>
      </c>
      <c r="U37" s="227" t="n">
        <v>-0.46</v>
      </c>
      <c r="V37" s="227" t="n">
        <v>0.01</v>
      </c>
      <c r="W37" s="227" t="n">
        <v>-0.43</v>
      </c>
      <c r="X37" s="227" t="n">
        <v>0.0016519599429652</v>
      </c>
      <c r="Y37" s="227" t="n">
        <v>-0.3</v>
      </c>
      <c r="Z37" s="227" t="n">
        <v>0.02</v>
      </c>
      <c r="AA37" s="227" t="n">
        <v>0.309</v>
      </c>
      <c r="AB37" s="227" t="n">
        <v>0.165</v>
      </c>
      <c r="AC37" s="227" t="n">
        <v>0.03</v>
      </c>
      <c r="AD37" s="226" t="n">
        <v>0.26</v>
      </c>
      <c r="AE37" s="227" t="n">
        <v>0.03</v>
      </c>
      <c r="AF37" s="227" t="n">
        <v>0.303</v>
      </c>
      <c r="AG37" s="227" t="n">
        <v>0.44</v>
      </c>
      <c r="AH37" s="227" t="n">
        <v>0.03</v>
      </c>
      <c r="AI37" s="227" t="n">
        <v>0.24</v>
      </c>
      <c r="AJ37" s="227" t="n">
        <v>0</v>
      </c>
    </row>
    <row r="38" customFormat="false" ht="12.75" hidden="false" customHeight="false" outlineLevel="0" collapsed="false">
      <c r="D38" s="226" t="n">
        <v>38139</v>
      </c>
      <c r="E38" s="227" t="n">
        <v>0.0329511895141188</v>
      </c>
      <c r="F38" s="227" t="n">
        <v>3.766</v>
      </c>
      <c r="G38" s="227" t="n">
        <v>0.3025</v>
      </c>
      <c r="H38" s="227" t="n">
        <v>-0.22</v>
      </c>
      <c r="I38" s="227" t="n">
        <v>0.0025</v>
      </c>
      <c r="J38" s="227" t="n">
        <v>0.303</v>
      </c>
      <c r="K38" s="227" t="n">
        <v>-0.095</v>
      </c>
      <c r="L38" s="227" t="n">
        <v>0.005</v>
      </c>
      <c r="M38" s="227" t="n">
        <v>0.303</v>
      </c>
      <c r="N38" s="227" t="n">
        <v>-0.37</v>
      </c>
      <c r="O38" s="227" t="n">
        <v>0.02</v>
      </c>
      <c r="P38" s="227" t="n">
        <v>0.303</v>
      </c>
      <c r="Q38" s="227" t="n">
        <v>-0.37</v>
      </c>
      <c r="R38" s="227" t="n">
        <v>0</v>
      </c>
      <c r="S38" s="227" t="n">
        <v>-0.46</v>
      </c>
      <c r="T38" s="227" t="n">
        <v>0.016</v>
      </c>
      <c r="U38" s="227" t="n">
        <v>-0.46</v>
      </c>
      <c r="V38" s="227" t="n">
        <v>0.01</v>
      </c>
      <c r="W38" s="227" t="n">
        <v>-0.43</v>
      </c>
      <c r="X38" s="227" t="n">
        <v>0.0016518953719945</v>
      </c>
      <c r="Y38" s="227" t="n">
        <v>-0.3</v>
      </c>
      <c r="Z38" s="227" t="n">
        <v>0.02</v>
      </c>
      <c r="AA38" s="227" t="n">
        <v>0.309</v>
      </c>
      <c r="AB38" s="227" t="n">
        <v>0.165</v>
      </c>
      <c r="AC38" s="227" t="n">
        <v>0.03</v>
      </c>
      <c r="AD38" s="226" t="n">
        <v>0.26</v>
      </c>
      <c r="AE38" s="227" t="n">
        <v>0.03</v>
      </c>
      <c r="AF38" s="227" t="n">
        <v>0.303</v>
      </c>
      <c r="AG38" s="227" t="n">
        <v>0.44</v>
      </c>
      <c r="AH38" s="227" t="n">
        <v>0.03</v>
      </c>
      <c r="AI38" s="227" t="n">
        <v>0.24</v>
      </c>
      <c r="AJ38" s="227" t="n">
        <v>0</v>
      </c>
    </row>
    <row r="39" customFormat="false" ht="12.75" hidden="false" customHeight="false" outlineLevel="0" collapsed="false">
      <c r="D39" s="226" t="n">
        <v>38169</v>
      </c>
      <c r="E39" s="227" t="n">
        <v>0.0334176409453204</v>
      </c>
      <c r="F39" s="227" t="n">
        <v>3.811</v>
      </c>
      <c r="G39" s="227" t="n">
        <v>0.3025</v>
      </c>
      <c r="H39" s="227" t="n">
        <v>-0.22</v>
      </c>
      <c r="I39" s="227" t="n">
        <v>0.0025</v>
      </c>
      <c r="J39" s="227" t="n">
        <v>0.303</v>
      </c>
      <c r="K39" s="227" t="n">
        <v>-0.095</v>
      </c>
      <c r="L39" s="227" t="n">
        <v>0.005</v>
      </c>
      <c r="M39" s="227" t="n">
        <v>0.303</v>
      </c>
      <c r="N39" s="227" t="n">
        <v>-0.37</v>
      </c>
      <c r="O39" s="227" t="n">
        <v>0.02</v>
      </c>
      <c r="P39" s="227" t="n">
        <v>0.303</v>
      </c>
      <c r="Q39" s="227" t="n">
        <v>-0.37</v>
      </c>
      <c r="R39" s="227" t="n">
        <v>0</v>
      </c>
      <c r="S39" s="227" t="n">
        <v>-0.46</v>
      </c>
      <c r="T39" s="227" t="n">
        <v>0.016</v>
      </c>
      <c r="U39" s="227" t="n">
        <v>-0.46</v>
      </c>
      <c r="V39" s="227" t="n">
        <v>0.01</v>
      </c>
      <c r="W39" s="227" t="n">
        <v>-0.43</v>
      </c>
      <c r="X39" s="227" t="n">
        <v>0.0016517668880041</v>
      </c>
      <c r="Y39" s="227" t="n">
        <v>-0.3</v>
      </c>
      <c r="Z39" s="227" t="n">
        <v>0.02</v>
      </c>
      <c r="AA39" s="227" t="n">
        <v>0.309</v>
      </c>
      <c r="AB39" s="227" t="n">
        <v>0.165</v>
      </c>
      <c r="AC39" s="227" t="n">
        <v>0.03</v>
      </c>
      <c r="AD39" s="226" t="n">
        <v>0.26</v>
      </c>
      <c r="AE39" s="227" t="n">
        <v>0.03</v>
      </c>
      <c r="AF39" s="227" t="n">
        <v>0.303</v>
      </c>
      <c r="AG39" s="227" t="n">
        <v>0.44</v>
      </c>
      <c r="AH39" s="227" t="n">
        <v>0.03</v>
      </c>
      <c r="AI39" s="227" t="n">
        <v>0.24</v>
      </c>
      <c r="AJ39" s="227" t="n">
        <v>0</v>
      </c>
    </row>
    <row r="40" customFormat="false" ht="12.75" hidden="false" customHeight="false" outlineLevel="0" collapsed="false">
      <c r="D40" s="226" t="n">
        <v>38200</v>
      </c>
      <c r="E40" s="227" t="n">
        <v>0.0338828714938373</v>
      </c>
      <c r="F40" s="227" t="n">
        <v>3.849</v>
      </c>
      <c r="G40" s="227" t="n">
        <v>0.3025</v>
      </c>
      <c r="H40" s="227" t="n">
        <v>-0.22</v>
      </c>
      <c r="I40" s="227" t="n">
        <v>0.0025</v>
      </c>
      <c r="J40" s="227" t="n">
        <v>0.303</v>
      </c>
      <c r="K40" s="227" t="n">
        <v>-0.095</v>
      </c>
      <c r="L40" s="227" t="n">
        <v>0.005</v>
      </c>
      <c r="M40" s="227" t="n">
        <v>0.303</v>
      </c>
      <c r="N40" s="227" t="n">
        <v>-0.37</v>
      </c>
      <c r="O40" s="227" t="n">
        <v>0.02</v>
      </c>
      <c r="P40" s="227" t="n">
        <v>0.303</v>
      </c>
      <c r="Q40" s="227" t="n">
        <v>-0.37</v>
      </c>
      <c r="R40" s="227" t="n">
        <v>0</v>
      </c>
      <c r="S40" s="227" t="n">
        <v>-0.46</v>
      </c>
      <c r="T40" s="227" t="n">
        <v>0.016</v>
      </c>
      <c r="U40" s="227" t="n">
        <v>-0.46</v>
      </c>
      <c r="V40" s="227" t="n">
        <v>0.01</v>
      </c>
      <c r="W40" s="227" t="n">
        <v>-0.43</v>
      </c>
      <c r="X40" s="227" t="n">
        <v>0.0016515551787033</v>
      </c>
      <c r="Y40" s="227" t="n">
        <v>-0.3</v>
      </c>
      <c r="Z40" s="227" t="n">
        <v>0.02</v>
      </c>
      <c r="AA40" s="227" t="n">
        <v>0.309</v>
      </c>
      <c r="AB40" s="227" t="n">
        <v>0.165</v>
      </c>
      <c r="AC40" s="227" t="n">
        <v>0.03</v>
      </c>
      <c r="AD40" s="226" t="n">
        <v>0.26</v>
      </c>
      <c r="AE40" s="227" t="n">
        <v>0.03</v>
      </c>
      <c r="AF40" s="227" t="n">
        <v>0.303</v>
      </c>
      <c r="AG40" s="227" t="n">
        <v>0.44</v>
      </c>
      <c r="AH40" s="227" t="n">
        <v>0.03</v>
      </c>
      <c r="AI40" s="227" t="n">
        <v>0.24</v>
      </c>
      <c r="AJ40" s="227" t="n">
        <v>0</v>
      </c>
    </row>
    <row r="41" customFormat="false" ht="12.75" hidden="false" customHeight="false" outlineLevel="0" collapsed="false">
      <c r="D41" s="226" t="n">
        <v>38231</v>
      </c>
      <c r="E41" s="227" t="n">
        <v>0.0343481021151919</v>
      </c>
      <c r="F41" s="227" t="n">
        <v>3.843</v>
      </c>
      <c r="G41" s="227" t="n">
        <v>0.3025</v>
      </c>
      <c r="H41" s="227" t="n">
        <v>-0.22</v>
      </c>
      <c r="I41" s="227" t="n">
        <v>0.0025</v>
      </c>
      <c r="J41" s="227" t="n">
        <v>0.303</v>
      </c>
      <c r="K41" s="227" t="n">
        <v>-0.095</v>
      </c>
      <c r="L41" s="227" t="n">
        <v>0.005</v>
      </c>
      <c r="M41" s="227" t="n">
        <v>0.303</v>
      </c>
      <c r="N41" s="227" t="n">
        <v>-0.37</v>
      </c>
      <c r="O41" s="227" t="n">
        <v>0.02</v>
      </c>
      <c r="P41" s="227" t="n">
        <v>0.303</v>
      </c>
      <c r="Q41" s="227" t="n">
        <v>-0.37</v>
      </c>
      <c r="R41" s="227" t="n">
        <v>0</v>
      </c>
      <c r="S41" s="227" t="n">
        <v>-0.46</v>
      </c>
      <c r="T41" s="227" t="n">
        <v>0.016</v>
      </c>
      <c r="U41" s="227" t="n">
        <v>-0.46</v>
      </c>
      <c r="V41" s="227" t="n">
        <v>0.0125</v>
      </c>
      <c r="W41" s="227" t="n">
        <v>-0.43</v>
      </c>
      <c r="X41" s="227" t="n">
        <v>0.0016513347563617</v>
      </c>
      <c r="Y41" s="227" t="n">
        <v>-0.3</v>
      </c>
      <c r="Z41" s="227" t="n">
        <v>0.02</v>
      </c>
      <c r="AA41" s="227" t="n">
        <v>0.309</v>
      </c>
      <c r="AB41" s="227" t="n">
        <v>0.165</v>
      </c>
      <c r="AC41" s="227" t="n">
        <v>0.03</v>
      </c>
      <c r="AD41" s="226" t="n">
        <v>0.26</v>
      </c>
      <c r="AE41" s="227" t="n">
        <v>0.03</v>
      </c>
      <c r="AF41" s="227" t="n">
        <v>0.303</v>
      </c>
      <c r="AG41" s="227" t="n">
        <v>0.44</v>
      </c>
      <c r="AH41" s="227" t="n">
        <v>0.03</v>
      </c>
      <c r="AI41" s="227" t="n">
        <v>0.24</v>
      </c>
      <c r="AJ41" s="227" t="n">
        <v>0</v>
      </c>
    </row>
    <row r="42" customFormat="false" ht="12.75" hidden="false" customHeight="false" outlineLevel="0" collapsed="false">
      <c r="D42" s="226" t="n">
        <v>38261</v>
      </c>
      <c r="E42" s="227" t="n">
        <v>0.034781795136841</v>
      </c>
      <c r="F42" s="227" t="n">
        <v>3.843</v>
      </c>
      <c r="G42" s="227" t="n">
        <v>0.3025</v>
      </c>
      <c r="H42" s="227" t="n">
        <v>-0.22</v>
      </c>
      <c r="I42" s="227" t="n">
        <v>0.0025</v>
      </c>
      <c r="J42" s="227" t="n">
        <v>0.303</v>
      </c>
      <c r="K42" s="227" t="n">
        <v>-0.095</v>
      </c>
      <c r="L42" s="227" t="n">
        <v>0.005</v>
      </c>
      <c r="M42" s="227" t="n">
        <v>0.303</v>
      </c>
      <c r="N42" s="227" t="n">
        <v>-0.37</v>
      </c>
      <c r="O42" s="227" t="n">
        <v>0.02</v>
      </c>
      <c r="P42" s="227" t="n">
        <v>0.303</v>
      </c>
      <c r="Q42" s="227" t="n">
        <v>-0.37</v>
      </c>
      <c r="R42" s="227" t="n">
        <v>0</v>
      </c>
      <c r="S42" s="227" t="n">
        <v>-0.46</v>
      </c>
      <c r="T42" s="227" t="n">
        <v>0.016</v>
      </c>
      <c r="U42" s="227" t="n">
        <v>-0.46</v>
      </c>
      <c r="V42" s="227" t="n">
        <v>0.03</v>
      </c>
      <c r="W42" s="227" t="n">
        <v>-0.43</v>
      </c>
      <c r="X42" s="227" t="n">
        <v>0.001651034938039</v>
      </c>
      <c r="Y42" s="227" t="n">
        <v>-0.3</v>
      </c>
      <c r="Z42" s="227" t="n">
        <v>0.02</v>
      </c>
      <c r="AA42" s="227" t="n">
        <v>0.309</v>
      </c>
      <c r="AB42" s="227" t="n">
        <v>0.165</v>
      </c>
      <c r="AC42" s="227" t="n">
        <v>0.03</v>
      </c>
      <c r="AD42" s="226" t="n">
        <v>0.26</v>
      </c>
      <c r="AE42" s="227" t="n">
        <v>0.03</v>
      </c>
      <c r="AF42" s="227" t="n">
        <v>0.303</v>
      </c>
      <c r="AG42" s="227" t="n">
        <v>0.44</v>
      </c>
      <c r="AH42" s="227" t="n">
        <v>0.03</v>
      </c>
      <c r="AI42" s="227" t="n">
        <v>0.24</v>
      </c>
      <c r="AJ42" s="227" t="n">
        <v>0</v>
      </c>
    </row>
    <row r="43" customFormat="false" ht="12.75" hidden="false" customHeight="false" outlineLevel="0" collapsed="false">
      <c r="D43" s="226" t="n">
        <v>38292</v>
      </c>
      <c r="E43" s="227" t="n">
        <v>0.03521405726271</v>
      </c>
      <c r="F43" s="227" t="n">
        <v>4.013</v>
      </c>
      <c r="G43" s="227" t="n">
        <v>0.3</v>
      </c>
      <c r="H43" s="227" t="n">
        <v>-0.145</v>
      </c>
      <c r="I43" s="227" t="n">
        <v>0.005</v>
      </c>
      <c r="J43" s="227" t="n">
        <v>0.3</v>
      </c>
      <c r="K43" s="227" t="n">
        <v>-0.095</v>
      </c>
      <c r="L43" s="227" t="n">
        <v>0.005</v>
      </c>
      <c r="M43" s="227" t="n">
        <v>0.3</v>
      </c>
      <c r="N43" s="227" t="n">
        <v>-0.24</v>
      </c>
      <c r="O43" s="227" t="n">
        <v>0.035</v>
      </c>
      <c r="P43" s="227" t="n">
        <v>0.3</v>
      </c>
      <c r="Q43" s="227" t="n">
        <v>-0.24</v>
      </c>
      <c r="R43" s="227" t="n">
        <v>0.14</v>
      </c>
      <c r="S43" s="227" t="n">
        <v>-0.32</v>
      </c>
      <c r="T43" s="227" t="n">
        <v>0.156</v>
      </c>
      <c r="U43" s="227" t="n">
        <v>-0.32</v>
      </c>
      <c r="V43" s="227" t="n">
        <v>0.03</v>
      </c>
      <c r="W43" s="227" t="n">
        <v>-0.4</v>
      </c>
      <c r="X43" s="227" t="n">
        <v>0.0052820309645671</v>
      </c>
      <c r="Y43" s="227" t="n">
        <v>0.248</v>
      </c>
      <c r="Z43" s="227" t="n">
        <v>0.06</v>
      </c>
      <c r="AA43" s="227" t="n">
        <v>0.306</v>
      </c>
      <c r="AB43" s="227" t="n">
        <v>0.19</v>
      </c>
      <c r="AC43" s="227" t="n">
        <v>0.04</v>
      </c>
      <c r="AD43" s="226" t="n">
        <v>0.25</v>
      </c>
      <c r="AE43" s="227" t="n">
        <v>0.03</v>
      </c>
      <c r="AF43" s="227" t="n">
        <v>0.3</v>
      </c>
      <c r="AG43" s="227" t="n">
        <v>0.5</v>
      </c>
      <c r="AH43" s="227" t="n">
        <v>0.03</v>
      </c>
      <c r="AI43" s="227" t="n">
        <v>0.3</v>
      </c>
      <c r="AJ43" s="227" t="n">
        <v>0</v>
      </c>
    </row>
    <row r="44" customFormat="false" ht="12.75" hidden="false" customHeight="false" outlineLevel="0" collapsed="false">
      <c r="D44" s="226" t="n">
        <v>38322</v>
      </c>
      <c r="E44" s="227" t="n">
        <v>0.0356323755088668</v>
      </c>
      <c r="F44" s="227" t="n">
        <v>4.144</v>
      </c>
      <c r="G44" s="227" t="n">
        <v>0.2975</v>
      </c>
      <c r="H44" s="227" t="n">
        <v>-0.145</v>
      </c>
      <c r="I44" s="227" t="n">
        <v>0.005</v>
      </c>
      <c r="J44" s="227" t="n">
        <v>0.298</v>
      </c>
      <c r="K44" s="227" t="n">
        <v>-0.095</v>
      </c>
      <c r="L44" s="227" t="n">
        <v>0.005</v>
      </c>
      <c r="M44" s="227" t="n">
        <v>0.298</v>
      </c>
      <c r="N44" s="227" t="n">
        <v>-0.24</v>
      </c>
      <c r="O44" s="227" t="n">
        <v>0.035</v>
      </c>
      <c r="P44" s="227" t="n">
        <v>0.298</v>
      </c>
      <c r="Q44" s="227" t="n">
        <v>-0.24</v>
      </c>
      <c r="R44" s="227" t="n">
        <v>0</v>
      </c>
      <c r="S44" s="227" t="n">
        <v>-0.32</v>
      </c>
      <c r="T44" s="227" t="n">
        <v>0.055</v>
      </c>
      <c r="U44" s="227" t="n">
        <v>-0.32</v>
      </c>
      <c r="V44" s="227" t="n">
        <v>0.03</v>
      </c>
      <c r="W44" s="227" t="n">
        <v>-0.4</v>
      </c>
      <c r="X44" s="227" t="n">
        <v>0.0052831194797241</v>
      </c>
      <c r="Y44" s="227" t="n">
        <v>0.308</v>
      </c>
      <c r="Z44" s="227" t="n">
        <v>0.06</v>
      </c>
      <c r="AA44" s="227" t="n">
        <v>0.303</v>
      </c>
      <c r="AB44" s="227" t="n">
        <v>0.19</v>
      </c>
      <c r="AC44" s="227" t="n">
        <v>0.04</v>
      </c>
      <c r="AD44" s="226" t="n">
        <v>0.25</v>
      </c>
      <c r="AE44" s="227" t="n">
        <v>0.03</v>
      </c>
      <c r="AF44" s="227" t="n">
        <v>0.298</v>
      </c>
      <c r="AG44" s="227" t="n">
        <v>0.57</v>
      </c>
      <c r="AH44" s="227" t="n">
        <v>0.03</v>
      </c>
      <c r="AI44" s="227" t="n">
        <v>0.37</v>
      </c>
      <c r="AJ44" s="227" t="n">
        <v>0</v>
      </c>
    </row>
    <row r="45" customFormat="false" ht="12.75" hidden="false" customHeight="false" outlineLevel="0" collapsed="false">
      <c r="D45" s="226" t="n">
        <v>38353</v>
      </c>
      <c r="E45" s="227" t="n">
        <v>0.0360549611913465</v>
      </c>
      <c r="F45" s="227" t="n">
        <v>4.199</v>
      </c>
      <c r="G45" s="227" t="n">
        <v>0.2975</v>
      </c>
      <c r="H45" s="227" t="n">
        <v>-0.145</v>
      </c>
      <c r="I45" s="227" t="n">
        <v>0.005</v>
      </c>
      <c r="J45" s="227" t="n">
        <v>0.298</v>
      </c>
      <c r="K45" s="227" t="n">
        <v>-0.085</v>
      </c>
      <c r="L45" s="227" t="n">
        <v>0.005</v>
      </c>
      <c r="M45" s="227" t="n">
        <v>0.298</v>
      </c>
      <c r="N45" s="227" t="n">
        <v>-0.24</v>
      </c>
      <c r="O45" s="227" t="n">
        <v>0.035</v>
      </c>
      <c r="P45" s="227" t="n">
        <v>0.298</v>
      </c>
      <c r="Q45" s="227" t="n">
        <v>-0.24</v>
      </c>
      <c r="R45" s="227" t="n">
        <v>0.025</v>
      </c>
      <c r="S45" s="227" t="n">
        <v>-0.32</v>
      </c>
      <c r="T45" s="227" t="n">
        <v>0.055</v>
      </c>
      <c r="U45" s="227" t="n">
        <v>-0.32</v>
      </c>
      <c r="V45" s="227" t="n">
        <v>0.03</v>
      </c>
      <c r="W45" s="227" t="n">
        <v>-0.4</v>
      </c>
      <c r="X45" s="227" t="n">
        <v>0.0052841619876037</v>
      </c>
      <c r="Y45" s="227" t="n">
        <v>0.378</v>
      </c>
      <c r="Z45" s="227" t="n">
        <v>0.06</v>
      </c>
      <c r="AA45" s="227" t="n">
        <v>0.303</v>
      </c>
      <c r="AB45" s="227" t="n">
        <v>0.19</v>
      </c>
      <c r="AC45" s="227" t="n">
        <v>0.04</v>
      </c>
      <c r="AD45" s="226" t="n">
        <v>0.25</v>
      </c>
      <c r="AE45" s="227" t="n">
        <v>0.03</v>
      </c>
      <c r="AF45" s="227" t="n">
        <v>0.298</v>
      </c>
      <c r="AG45" s="227" t="n">
        <v>0.57</v>
      </c>
      <c r="AH45" s="227" t="n">
        <v>0.03</v>
      </c>
      <c r="AI45" s="227" t="n">
        <v>0.37</v>
      </c>
      <c r="AJ45" s="227" t="n">
        <v>0</v>
      </c>
    </row>
    <row r="46" customFormat="false" ht="12.75" hidden="false" customHeight="false" outlineLevel="0" collapsed="false">
      <c r="D46" s="226" t="n">
        <v>38384</v>
      </c>
      <c r="E46" s="227" t="n">
        <v>0.0364695779951969</v>
      </c>
      <c r="F46" s="227" t="n">
        <v>4.111</v>
      </c>
      <c r="G46" s="227" t="n">
        <v>0.295</v>
      </c>
      <c r="H46" s="227" t="n">
        <v>-0.145</v>
      </c>
      <c r="I46" s="227" t="n">
        <v>0.005</v>
      </c>
      <c r="J46" s="227" t="n">
        <v>0.295</v>
      </c>
      <c r="K46" s="227" t="n">
        <v>-0.085</v>
      </c>
      <c r="L46" s="227" t="n">
        <v>0.005</v>
      </c>
      <c r="M46" s="227" t="n">
        <v>0.295</v>
      </c>
      <c r="N46" s="227" t="n">
        <v>-0.24</v>
      </c>
      <c r="O46" s="227" t="n">
        <v>0.035</v>
      </c>
      <c r="P46" s="227" t="n">
        <v>0.295</v>
      </c>
      <c r="Q46" s="227" t="n">
        <v>-0.24</v>
      </c>
      <c r="R46" s="227" t="n">
        <v>0.025</v>
      </c>
      <c r="S46" s="227" t="n">
        <v>-0.32</v>
      </c>
      <c r="T46" s="227" t="n">
        <v>0.055</v>
      </c>
      <c r="U46" s="227" t="n">
        <v>-0.32</v>
      </c>
      <c r="V46" s="227" t="n">
        <v>0.03</v>
      </c>
      <c r="W46" s="227" t="n">
        <v>-0.4</v>
      </c>
      <c r="X46" s="227" t="n">
        <v>0.0052851395104598</v>
      </c>
      <c r="Y46" s="227" t="n">
        <v>0.248</v>
      </c>
      <c r="Z46" s="227" t="n">
        <v>0.06</v>
      </c>
      <c r="AA46" s="227" t="n">
        <v>0.301</v>
      </c>
      <c r="AB46" s="227" t="n">
        <v>0.19</v>
      </c>
      <c r="AC46" s="227" t="n">
        <v>0.04</v>
      </c>
      <c r="AD46" s="226" t="n">
        <v>0.25</v>
      </c>
      <c r="AE46" s="227" t="n">
        <v>0.03</v>
      </c>
      <c r="AF46" s="227" t="n">
        <v>0.295</v>
      </c>
      <c r="AG46" s="227" t="n">
        <v>0.57</v>
      </c>
      <c r="AH46" s="227" t="n">
        <v>0.03</v>
      </c>
      <c r="AI46" s="227" t="n">
        <v>0.37</v>
      </c>
      <c r="AJ46" s="227" t="n">
        <v>0</v>
      </c>
    </row>
    <row r="47" customFormat="false" ht="12.75" hidden="false" customHeight="false" outlineLevel="0" collapsed="false">
      <c r="D47" s="226" t="n">
        <v>38412</v>
      </c>
      <c r="E47" s="227" t="n">
        <v>0.0368440706418856</v>
      </c>
      <c r="F47" s="227" t="n">
        <v>3.972</v>
      </c>
      <c r="G47" s="227" t="n">
        <v>0.28</v>
      </c>
      <c r="H47" s="227" t="n">
        <v>-0.145</v>
      </c>
      <c r="I47" s="227" t="n">
        <v>0.005</v>
      </c>
      <c r="J47" s="227" t="n">
        <v>0.28</v>
      </c>
      <c r="K47" s="227" t="n">
        <v>-0.085</v>
      </c>
      <c r="L47" s="227" t="n">
        <v>0.005</v>
      </c>
      <c r="M47" s="227" t="n">
        <v>0.28</v>
      </c>
      <c r="N47" s="227" t="n">
        <v>-0.24</v>
      </c>
      <c r="O47" s="227" t="n">
        <v>0.035</v>
      </c>
      <c r="P47" s="227" t="n">
        <v>0.28</v>
      </c>
      <c r="Q47" s="227" t="n">
        <v>-0.24</v>
      </c>
      <c r="R47" s="227" t="n">
        <v>0</v>
      </c>
      <c r="S47" s="227" t="n">
        <v>-0.32</v>
      </c>
      <c r="T47" s="227" t="n">
        <v>0.035</v>
      </c>
      <c r="U47" s="227" t="n">
        <v>-0.32</v>
      </c>
      <c r="V47" s="227" t="n">
        <v>0.03</v>
      </c>
      <c r="W47" s="227" t="n">
        <v>-0.4</v>
      </c>
      <c r="X47" s="227" t="n">
        <v>0.0052860761832149</v>
      </c>
      <c r="Y47" s="227" t="n">
        <v>0.068</v>
      </c>
      <c r="Z47" s="227" t="n">
        <v>0.06</v>
      </c>
      <c r="AA47" s="227" t="n">
        <v>0.286</v>
      </c>
      <c r="AB47" s="227" t="n">
        <v>0.19</v>
      </c>
      <c r="AC47" s="227" t="n">
        <v>0.04</v>
      </c>
      <c r="AD47" s="226" t="n">
        <v>0.25</v>
      </c>
      <c r="AE47" s="227" t="n">
        <v>0.03</v>
      </c>
      <c r="AF47" s="227" t="n">
        <v>0.28</v>
      </c>
      <c r="AG47" s="227" t="n">
        <v>0.57</v>
      </c>
      <c r="AH47" s="227" t="n">
        <v>0.03</v>
      </c>
      <c r="AI47" s="227" t="n">
        <v>0.37</v>
      </c>
      <c r="AJ47" s="227" t="n">
        <v>0</v>
      </c>
    </row>
    <row r="48" customFormat="false" ht="12.75" hidden="false" customHeight="false" outlineLevel="0" collapsed="false">
      <c r="D48" s="226" t="n">
        <v>38443</v>
      </c>
      <c r="E48" s="227" t="n">
        <v>0.037231074649267</v>
      </c>
      <c r="F48" s="227" t="n">
        <v>3.818</v>
      </c>
      <c r="G48" s="227" t="n">
        <v>0.27</v>
      </c>
      <c r="H48" s="227" t="n">
        <v>-0.21</v>
      </c>
      <c r="I48" s="227" t="n">
        <v>0.0025</v>
      </c>
      <c r="J48" s="227" t="n">
        <v>0.27</v>
      </c>
      <c r="K48" s="227" t="n">
        <v>-0.085</v>
      </c>
      <c r="L48" s="227" t="n">
        <v>0.005</v>
      </c>
      <c r="M48" s="227" t="n">
        <v>0.27</v>
      </c>
      <c r="N48" s="227" t="n">
        <v>-0.34</v>
      </c>
      <c r="O48" s="227" t="n">
        <v>0.02</v>
      </c>
      <c r="P48" s="227" t="n">
        <v>0.27</v>
      </c>
      <c r="Q48" s="227" t="n">
        <v>-0.34</v>
      </c>
      <c r="R48" s="227" t="n">
        <v>0</v>
      </c>
      <c r="S48" s="227" t="n">
        <v>-0.42</v>
      </c>
      <c r="T48" s="227" t="n">
        <v>0.018</v>
      </c>
      <c r="U48" s="227" t="n">
        <v>-0.42</v>
      </c>
      <c r="V48" s="227" t="n">
        <v>0.01</v>
      </c>
      <c r="W48" s="227" t="n">
        <v>-0.44</v>
      </c>
      <c r="X48" s="227" t="n">
        <v>0.0016520885686083</v>
      </c>
      <c r="Y48" s="227" t="n">
        <v>-0.25</v>
      </c>
      <c r="Z48" s="227" t="n">
        <v>0.02</v>
      </c>
      <c r="AA48" s="227" t="n">
        <v>0.275</v>
      </c>
      <c r="AB48" s="227" t="n">
        <v>0.165</v>
      </c>
      <c r="AC48" s="227" t="n">
        <v>0.03</v>
      </c>
      <c r="AD48" s="226" t="n">
        <v>0.26</v>
      </c>
      <c r="AE48" s="227" t="n">
        <v>0.03</v>
      </c>
      <c r="AF48" s="227" t="n">
        <v>0.27</v>
      </c>
      <c r="AG48" s="227" t="n">
        <v>0.44</v>
      </c>
      <c r="AH48" s="227" t="n">
        <v>0.03</v>
      </c>
      <c r="AI48" s="227" t="n">
        <v>0.24</v>
      </c>
      <c r="AJ48" s="227" t="n">
        <v>0</v>
      </c>
    </row>
    <row r="49" customFormat="false" ht="12.75" hidden="false" customHeight="false" outlineLevel="0" collapsed="false">
      <c r="D49" s="226" t="n">
        <v>38473</v>
      </c>
      <c r="E49" s="227" t="n">
        <v>0.0375815656177227</v>
      </c>
      <c r="F49" s="227" t="n">
        <v>3.823</v>
      </c>
      <c r="G49" s="227" t="n">
        <v>0.2625</v>
      </c>
      <c r="H49" s="227" t="n">
        <v>-0.21</v>
      </c>
      <c r="I49" s="227" t="n">
        <v>0.0025</v>
      </c>
      <c r="J49" s="227" t="n">
        <v>0.263</v>
      </c>
      <c r="K49" s="227" t="n">
        <v>-0.085</v>
      </c>
      <c r="L49" s="227" t="n">
        <v>0.005</v>
      </c>
      <c r="M49" s="227" t="n">
        <v>0.263</v>
      </c>
      <c r="N49" s="227" t="n">
        <v>-0.34</v>
      </c>
      <c r="O49" s="227" t="n">
        <v>0.02</v>
      </c>
      <c r="P49" s="227" t="n">
        <v>0.263</v>
      </c>
      <c r="Q49" s="227" t="n">
        <v>-0.34</v>
      </c>
      <c r="R49" s="227" t="n">
        <v>0</v>
      </c>
      <c r="S49" s="227" t="n">
        <v>-0.42</v>
      </c>
      <c r="T49" s="227" t="n">
        <v>0.018</v>
      </c>
      <c r="U49" s="227" t="n">
        <v>-0.42</v>
      </c>
      <c r="V49" s="227" t="n">
        <v>0.01</v>
      </c>
      <c r="W49" s="227" t="n">
        <v>-0.44</v>
      </c>
      <c r="X49" s="227" t="n">
        <v>0.0016521473420193</v>
      </c>
      <c r="Y49" s="227" t="n">
        <v>-0.25</v>
      </c>
      <c r="Z49" s="227" t="n">
        <v>0.02</v>
      </c>
      <c r="AA49" s="227" t="n">
        <v>0.268</v>
      </c>
      <c r="AB49" s="227" t="n">
        <v>0.165</v>
      </c>
      <c r="AC49" s="227" t="n">
        <v>0.03</v>
      </c>
      <c r="AD49" s="226" t="n">
        <v>0.26</v>
      </c>
      <c r="AE49" s="227" t="n">
        <v>0.03</v>
      </c>
      <c r="AF49" s="227" t="n">
        <v>0.263</v>
      </c>
      <c r="AG49" s="227" t="n">
        <v>0.44</v>
      </c>
      <c r="AH49" s="227" t="n">
        <v>0.03</v>
      </c>
      <c r="AI49" s="227" t="n">
        <v>0.24</v>
      </c>
      <c r="AJ49" s="227" t="n">
        <v>0</v>
      </c>
    </row>
    <row r="50" customFormat="false" ht="12.75" hidden="false" customHeight="false" outlineLevel="0" collapsed="false">
      <c r="D50" s="226" t="n">
        <v>38504</v>
      </c>
      <c r="E50" s="227" t="n">
        <v>0.0379437396618121</v>
      </c>
      <c r="F50" s="227" t="n">
        <v>3.861</v>
      </c>
      <c r="G50" s="227" t="n">
        <v>0.2575</v>
      </c>
      <c r="H50" s="227" t="n">
        <v>-0.21</v>
      </c>
      <c r="I50" s="227" t="n">
        <v>0.0025</v>
      </c>
      <c r="J50" s="227" t="n">
        <v>0.258</v>
      </c>
      <c r="K50" s="227" t="n">
        <v>-0.085</v>
      </c>
      <c r="L50" s="227" t="n">
        <v>0.005</v>
      </c>
      <c r="M50" s="227" t="n">
        <v>0.258</v>
      </c>
      <c r="N50" s="227" t="n">
        <v>-0.34</v>
      </c>
      <c r="O50" s="227" t="n">
        <v>0.02</v>
      </c>
      <c r="P50" s="227" t="n">
        <v>0.258</v>
      </c>
      <c r="Q50" s="227" t="n">
        <v>-0.34</v>
      </c>
      <c r="R50" s="227" t="n">
        <v>0</v>
      </c>
      <c r="S50" s="227" t="n">
        <v>-0.42</v>
      </c>
      <c r="T50" s="227" t="n">
        <v>0.018</v>
      </c>
      <c r="U50" s="227" t="n">
        <v>-0.42</v>
      </c>
      <c r="V50" s="227" t="n">
        <v>0.01</v>
      </c>
      <c r="W50" s="227" t="n">
        <v>-0.44</v>
      </c>
      <c r="X50" s="227" t="n">
        <v>0.0016522131321834</v>
      </c>
      <c r="Y50" s="227" t="n">
        <v>-0.25</v>
      </c>
      <c r="Z50" s="227" t="n">
        <v>0.02</v>
      </c>
      <c r="AA50" s="227" t="n">
        <v>0.263</v>
      </c>
      <c r="AB50" s="227" t="n">
        <v>0.165</v>
      </c>
      <c r="AC50" s="227" t="n">
        <v>0.03</v>
      </c>
      <c r="AD50" s="226" t="n">
        <v>0.26</v>
      </c>
      <c r="AE50" s="227" t="n">
        <v>0.03</v>
      </c>
      <c r="AF50" s="227" t="n">
        <v>0.258</v>
      </c>
      <c r="AG50" s="227" t="n">
        <v>0.44</v>
      </c>
      <c r="AH50" s="227" t="n">
        <v>0.03</v>
      </c>
      <c r="AI50" s="227" t="n">
        <v>0.24</v>
      </c>
      <c r="AJ50" s="227" t="n">
        <v>0</v>
      </c>
    </row>
    <row r="51" customFormat="false" ht="12.75" hidden="false" customHeight="false" outlineLevel="0" collapsed="false">
      <c r="D51" s="226" t="n">
        <v>38534</v>
      </c>
      <c r="E51" s="227" t="n">
        <v>0.0382804482180519</v>
      </c>
      <c r="F51" s="227" t="n">
        <v>3.906</v>
      </c>
      <c r="G51" s="227" t="n">
        <v>0.2575</v>
      </c>
      <c r="H51" s="227" t="n">
        <v>-0.21</v>
      </c>
      <c r="I51" s="227" t="n">
        <v>0.0025</v>
      </c>
      <c r="J51" s="227" t="n">
        <v>0.258</v>
      </c>
      <c r="K51" s="227" t="n">
        <v>-0.085</v>
      </c>
      <c r="L51" s="227" t="n">
        <v>0.005</v>
      </c>
      <c r="M51" s="227" t="n">
        <v>0.258</v>
      </c>
      <c r="N51" s="227" t="n">
        <v>-0.34</v>
      </c>
      <c r="O51" s="227" t="n">
        <v>0.02</v>
      </c>
      <c r="P51" s="227" t="n">
        <v>0.258</v>
      </c>
      <c r="Q51" s="227" t="n">
        <v>-0.34</v>
      </c>
      <c r="R51" s="227" t="n">
        <v>0</v>
      </c>
      <c r="S51" s="227" t="n">
        <v>-0.42</v>
      </c>
      <c r="T51" s="227" t="n">
        <v>0.018</v>
      </c>
      <c r="U51" s="227" t="n">
        <v>-0.42</v>
      </c>
      <c r="V51" s="227" t="n">
        <v>0.01</v>
      </c>
      <c r="W51" s="227" t="n">
        <v>-0.44</v>
      </c>
      <c r="X51" s="227" t="n">
        <v>0.0016521998402106</v>
      </c>
      <c r="Y51" s="227" t="n">
        <v>-0.25</v>
      </c>
      <c r="Z51" s="227" t="n">
        <v>0.02</v>
      </c>
      <c r="AA51" s="227" t="n">
        <v>0.263</v>
      </c>
      <c r="AB51" s="227" t="n">
        <v>0.165</v>
      </c>
      <c r="AC51" s="227" t="n">
        <v>0.03</v>
      </c>
      <c r="AD51" s="226" t="n">
        <v>0.26</v>
      </c>
      <c r="AE51" s="227" t="n">
        <v>0.03</v>
      </c>
      <c r="AF51" s="227" t="n">
        <v>0.258</v>
      </c>
      <c r="AG51" s="227" t="n">
        <v>0.44</v>
      </c>
      <c r="AH51" s="227" t="n">
        <v>0.03</v>
      </c>
      <c r="AI51" s="227" t="n">
        <v>0.24</v>
      </c>
      <c r="AJ51" s="227" t="n">
        <v>0</v>
      </c>
    </row>
    <row r="52" customFormat="false" ht="12.75" hidden="false" customHeight="false" outlineLevel="0" collapsed="false">
      <c r="D52" s="226" t="n">
        <v>38565</v>
      </c>
      <c r="E52" s="227" t="n">
        <v>0.0386151186812072</v>
      </c>
      <c r="F52" s="227" t="n">
        <v>3.944</v>
      </c>
      <c r="G52" s="227" t="n">
        <v>0.2575</v>
      </c>
      <c r="H52" s="227" t="n">
        <v>-0.21</v>
      </c>
      <c r="I52" s="227" t="n">
        <v>0.0025</v>
      </c>
      <c r="J52" s="227" t="n">
        <v>0.258</v>
      </c>
      <c r="K52" s="227" t="n">
        <v>-0.085</v>
      </c>
      <c r="L52" s="227" t="n">
        <v>0.005</v>
      </c>
      <c r="M52" s="227" t="n">
        <v>0.258</v>
      </c>
      <c r="N52" s="227" t="n">
        <v>-0.34</v>
      </c>
      <c r="O52" s="227" t="n">
        <v>0.02</v>
      </c>
      <c r="P52" s="227" t="n">
        <v>0.258</v>
      </c>
      <c r="Q52" s="227" t="n">
        <v>-0.34</v>
      </c>
      <c r="R52" s="227" t="n">
        <v>0</v>
      </c>
      <c r="S52" s="227" t="n">
        <v>-0.42</v>
      </c>
      <c r="T52" s="227" t="n">
        <v>0.018</v>
      </c>
      <c r="U52" s="227" t="n">
        <v>-0.42</v>
      </c>
      <c r="V52" s="227" t="n">
        <v>0.01</v>
      </c>
      <c r="W52" s="227" t="n">
        <v>-0.44</v>
      </c>
      <c r="X52" s="227" t="n">
        <v>0.0016521067623714</v>
      </c>
      <c r="Y52" s="227" t="n">
        <v>-0.25</v>
      </c>
      <c r="Z52" s="227" t="n">
        <v>0.02</v>
      </c>
      <c r="AA52" s="227" t="n">
        <v>0.263</v>
      </c>
      <c r="AB52" s="227" t="n">
        <v>0.165</v>
      </c>
      <c r="AC52" s="227" t="n">
        <v>0.03</v>
      </c>
      <c r="AD52" s="226" t="n">
        <v>0.26</v>
      </c>
      <c r="AE52" s="227" t="n">
        <v>0.03</v>
      </c>
      <c r="AF52" s="227" t="n">
        <v>0.258</v>
      </c>
      <c r="AG52" s="227" t="n">
        <v>0.44</v>
      </c>
      <c r="AH52" s="227" t="n">
        <v>0.03</v>
      </c>
      <c r="AI52" s="227" t="n">
        <v>0.24</v>
      </c>
      <c r="AJ52" s="227" t="n">
        <v>0</v>
      </c>
    </row>
    <row r="53" customFormat="false" ht="12.75" hidden="false" customHeight="false" outlineLevel="0" collapsed="false">
      <c r="D53" s="226" t="n">
        <v>38596</v>
      </c>
      <c r="E53" s="227" t="n">
        <v>0.0389497891819679</v>
      </c>
      <c r="F53" s="227" t="n">
        <v>3.938</v>
      </c>
      <c r="G53" s="227" t="n">
        <v>0.2575</v>
      </c>
      <c r="H53" s="227" t="n">
        <v>-0.21</v>
      </c>
      <c r="I53" s="227" t="n">
        <v>0.0025</v>
      </c>
      <c r="J53" s="227" t="n">
        <v>0.258</v>
      </c>
      <c r="K53" s="227" t="n">
        <v>-0.085</v>
      </c>
      <c r="L53" s="227" t="n">
        <v>0.005</v>
      </c>
      <c r="M53" s="227" t="n">
        <v>0.258</v>
      </c>
      <c r="N53" s="227" t="n">
        <v>-0.34</v>
      </c>
      <c r="O53" s="227" t="n">
        <v>0.02</v>
      </c>
      <c r="P53" s="227" t="n">
        <v>0.258</v>
      </c>
      <c r="Q53" s="227" t="n">
        <v>-0.34</v>
      </c>
      <c r="R53" s="227" t="n">
        <v>0</v>
      </c>
      <c r="S53" s="227" t="n">
        <v>-0.42</v>
      </c>
      <c r="T53" s="227" t="n">
        <v>0.018</v>
      </c>
      <c r="U53" s="227" t="n">
        <v>-0.42</v>
      </c>
      <c r="V53" s="227" t="n">
        <v>0.0125</v>
      </c>
      <c r="W53" s="227" t="n">
        <v>-0.44</v>
      </c>
      <c r="X53" s="227" t="n">
        <v>0.001652011312084</v>
      </c>
      <c r="Y53" s="227" t="n">
        <v>-0.25</v>
      </c>
      <c r="Z53" s="227" t="n">
        <v>0.02</v>
      </c>
      <c r="AA53" s="227" t="n">
        <v>0.263</v>
      </c>
      <c r="AB53" s="227" t="n">
        <v>0.165</v>
      </c>
      <c r="AC53" s="227" t="n">
        <v>0.03</v>
      </c>
      <c r="AD53" s="226" t="n">
        <v>0.26</v>
      </c>
      <c r="AE53" s="227" t="n">
        <v>0.03</v>
      </c>
      <c r="AF53" s="227" t="n">
        <v>0.258</v>
      </c>
      <c r="AG53" s="227" t="n">
        <v>0.44</v>
      </c>
      <c r="AH53" s="227" t="n">
        <v>0.03</v>
      </c>
      <c r="AI53" s="227" t="n">
        <v>0.24</v>
      </c>
      <c r="AJ53" s="227" t="n">
        <v>0</v>
      </c>
    </row>
    <row r="54" customFormat="false" ht="12.75" hidden="false" customHeight="false" outlineLevel="0" collapsed="false">
      <c r="D54" s="226" t="n">
        <v>38626</v>
      </c>
      <c r="E54" s="227" t="n">
        <v>0.039265281938853</v>
      </c>
      <c r="F54" s="227" t="n">
        <v>3.938</v>
      </c>
      <c r="G54" s="227" t="n">
        <v>0.2575</v>
      </c>
      <c r="H54" s="227" t="n">
        <v>-0.21</v>
      </c>
      <c r="I54" s="227" t="n">
        <v>0.0025</v>
      </c>
      <c r="J54" s="227" t="n">
        <v>0.258</v>
      </c>
      <c r="K54" s="227" t="n">
        <v>-0.085</v>
      </c>
      <c r="L54" s="227" t="n">
        <v>0.005</v>
      </c>
      <c r="M54" s="227" t="n">
        <v>0.258</v>
      </c>
      <c r="N54" s="227" t="n">
        <v>-0.34</v>
      </c>
      <c r="O54" s="227" t="n">
        <v>0.02</v>
      </c>
      <c r="P54" s="227" t="n">
        <v>0.258</v>
      </c>
      <c r="Q54" s="227" t="n">
        <v>-0.34</v>
      </c>
      <c r="R54" s="227" t="n">
        <v>0</v>
      </c>
      <c r="S54" s="227" t="n">
        <v>-0.42</v>
      </c>
      <c r="T54" s="227" t="n">
        <v>0.018</v>
      </c>
      <c r="U54" s="227" t="n">
        <v>-0.42</v>
      </c>
      <c r="V54" s="227" t="n">
        <v>0.03</v>
      </c>
      <c r="W54" s="227" t="n">
        <v>-0.44</v>
      </c>
      <c r="X54" s="227" t="n">
        <v>0.001651863518216</v>
      </c>
      <c r="Y54" s="227" t="n">
        <v>-0.25</v>
      </c>
      <c r="Z54" s="227" t="n">
        <v>0.02</v>
      </c>
      <c r="AA54" s="227" t="n">
        <v>0.263</v>
      </c>
      <c r="AB54" s="227" t="n">
        <v>0.165</v>
      </c>
      <c r="AC54" s="227" t="n">
        <v>0.03</v>
      </c>
      <c r="AD54" s="226" t="n">
        <v>0.26</v>
      </c>
      <c r="AE54" s="227" t="n">
        <v>0.03</v>
      </c>
      <c r="AF54" s="227" t="n">
        <v>0.258</v>
      </c>
      <c r="AG54" s="227" t="n">
        <v>0.44</v>
      </c>
      <c r="AH54" s="227" t="n">
        <v>0.03</v>
      </c>
      <c r="AI54" s="227" t="n">
        <v>0.24</v>
      </c>
      <c r="AJ54" s="227" t="n">
        <v>0</v>
      </c>
    </row>
    <row r="55" customFormat="false" ht="12.75" hidden="false" customHeight="false" outlineLevel="0" collapsed="false">
      <c r="D55" s="226" t="n">
        <v>38657</v>
      </c>
      <c r="E55" s="227" t="n">
        <v>0.0395730230633742</v>
      </c>
      <c r="F55" s="227" t="n">
        <v>4.108</v>
      </c>
      <c r="G55" s="227" t="n">
        <v>0.2575</v>
      </c>
      <c r="H55" s="227" t="n">
        <v>-0.13</v>
      </c>
      <c r="I55" s="227" t="n">
        <v>0.005</v>
      </c>
      <c r="J55" s="227" t="n">
        <v>0.258</v>
      </c>
      <c r="K55" s="227" t="n">
        <v>-0.085</v>
      </c>
      <c r="L55" s="227" t="n">
        <v>0.005</v>
      </c>
      <c r="M55" s="227" t="n">
        <v>0.258</v>
      </c>
      <c r="N55" s="227" t="n">
        <v>-0.24</v>
      </c>
      <c r="O55" s="227" t="n">
        <v>0.035</v>
      </c>
      <c r="P55" s="227" t="n">
        <v>0.258</v>
      </c>
      <c r="Q55" s="227" t="n">
        <v>-0.24</v>
      </c>
      <c r="R55" s="227" t="n">
        <v>0.14</v>
      </c>
      <c r="S55" s="227" t="n">
        <v>-0.32</v>
      </c>
      <c r="T55" s="227" t="n">
        <v>0.158</v>
      </c>
      <c r="U55" s="227" t="n">
        <v>-0.32</v>
      </c>
      <c r="V55" s="227" t="n">
        <v>0.03</v>
      </c>
      <c r="W55" s="227" t="n">
        <v>-0.4</v>
      </c>
      <c r="X55" s="227" t="n">
        <v>0.0052850809673063</v>
      </c>
      <c r="Y55" s="227" t="n">
        <v>0.248</v>
      </c>
      <c r="Z55" s="227" t="n">
        <v>0.06</v>
      </c>
      <c r="AA55" s="227" t="n">
        <v>0.263</v>
      </c>
      <c r="AB55" s="227" t="n">
        <v>0.19</v>
      </c>
      <c r="AC55" s="227" t="n">
        <v>0.03</v>
      </c>
      <c r="AD55" s="226" t="n">
        <v>0.25</v>
      </c>
      <c r="AE55" s="227" t="n">
        <v>0.032</v>
      </c>
      <c r="AF55" s="227" t="n">
        <v>0.258</v>
      </c>
      <c r="AG55" s="227" t="n">
        <v>0.5</v>
      </c>
      <c r="AH55" s="227" t="n">
        <v>0.032</v>
      </c>
      <c r="AI55" s="227" t="n">
        <v>0.3</v>
      </c>
      <c r="AJ55" s="227" t="n">
        <v>0</v>
      </c>
    </row>
    <row r="56" customFormat="false" ht="12.75" hidden="false" customHeight="false" outlineLevel="0" collapsed="false">
      <c r="D56" s="226" t="n">
        <v>38687</v>
      </c>
      <c r="E56" s="227" t="n">
        <v>0.0398708370851071</v>
      </c>
      <c r="F56" s="227" t="n">
        <v>4.239</v>
      </c>
      <c r="G56" s="227" t="n">
        <v>0.2575</v>
      </c>
      <c r="H56" s="227" t="n">
        <v>-0.13</v>
      </c>
      <c r="I56" s="227" t="n">
        <v>0.005</v>
      </c>
      <c r="J56" s="227" t="n">
        <v>0.258</v>
      </c>
      <c r="K56" s="227" t="n">
        <v>-0.085</v>
      </c>
      <c r="L56" s="227" t="n">
        <v>0.005</v>
      </c>
      <c r="M56" s="227" t="n">
        <v>0.258</v>
      </c>
      <c r="N56" s="227" t="n">
        <v>-0.24</v>
      </c>
      <c r="O56" s="227" t="n">
        <v>0.035</v>
      </c>
      <c r="P56" s="227" t="n">
        <v>0.258</v>
      </c>
      <c r="Q56" s="227" t="n">
        <v>-0.24</v>
      </c>
      <c r="R56" s="227" t="n">
        <v>0</v>
      </c>
      <c r="S56" s="227" t="n">
        <v>-0.32</v>
      </c>
      <c r="T56" s="227" t="n">
        <v>0.057</v>
      </c>
      <c r="U56" s="227" t="n">
        <v>-0.32</v>
      </c>
      <c r="V56" s="227" t="n">
        <v>0.03</v>
      </c>
      <c r="W56" s="227" t="n">
        <v>-0.4</v>
      </c>
      <c r="X56" s="227" t="n">
        <v>0.0052841976661601</v>
      </c>
      <c r="Y56" s="227" t="n">
        <v>0.308</v>
      </c>
      <c r="Z56" s="227" t="n">
        <v>0.06</v>
      </c>
      <c r="AA56" s="227" t="n">
        <v>0.263</v>
      </c>
      <c r="AB56" s="227" t="n">
        <v>0.19</v>
      </c>
      <c r="AC56" s="227" t="n">
        <v>0.03</v>
      </c>
      <c r="AD56" s="226" t="n">
        <v>0.25</v>
      </c>
      <c r="AE56" s="227" t="n">
        <v>0.032</v>
      </c>
      <c r="AF56" s="227" t="n">
        <v>0.258</v>
      </c>
      <c r="AG56" s="227" t="n">
        <v>0.57</v>
      </c>
      <c r="AH56" s="227" t="n">
        <v>0.032</v>
      </c>
      <c r="AI56" s="227" t="n">
        <v>0.37</v>
      </c>
      <c r="AJ56" s="227" t="n">
        <v>0</v>
      </c>
    </row>
    <row r="57" customFormat="false" ht="12.75" hidden="false" customHeight="false" outlineLevel="0" collapsed="false">
      <c r="D57" s="226" t="n">
        <v>38718</v>
      </c>
      <c r="E57" s="227" t="n">
        <v>0.0401618710056564</v>
      </c>
      <c r="F57" s="227" t="n">
        <v>4.2965</v>
      </c>
      <c r="G57" s="227" t="n">
        <v>0.2575</v>
      </c>
      <c r="H57" s="227" t="n">
        <v>-0.13</v>
      </c>
      <c r="I57" s="227" t="n">
        <v>0.005</v>
      </c>
      <c r="J57" s="227" t="n">
        <v>0.258</v>
      </c>
      <c r="K57" s="227" t="n">
        <v>-0.075</v>
      </c>
      <c r="L57" s="227" t="n">
        <v>0.005</v>
      </c>
      <c r="M57" s="227" t="n">
        <v>0.258</v>
      </c>
      <c r="N57" s="227" t="n">
        <v>-0.24</v>
      </c>
      <c r="O57" s="227" t="n">
        <v>0.035</v>
      </c>
      <c r="P57" s="227" t="n">
        <v>0.258</v>
      </c>
      <c r="Q57" s="227" t="n">
        <v>-0.24</v>
      </c>
      <c r="R57" s="227" t="n">
        <v>0.025</v>
      </c>
      <c r="S57" s="227" t="n">
        <v>-0.32</v>
      </c>
      <c r="T57" s="227" t="n">
        <v>0.057</v>
      </c>
      <c r="U57" s="227" t="n">
        <v>-0.32</v>
      </c>
      <c r="V57" s="227" t="n">
        <v>0.03</v>
      </c>
      <c r="W57" s="227" t="n">
        <v>-0.4</v>
      </c>
      <c r="X57" s="227" t="n">
        <v>0.0052828939360997</v>
      </c>
      <c r="Y57" s="227" t="n">
        <v>0.378</v>
      </c>
      <c r="Z57" s="227" t="n">
        <v>0.06</v>
      </c>
      <c r="AA57" s="227" t="n">
        <v>0.263</v>
      </c>
      <c r="AB57" s="227" t="n">
        <v>0.19</v>
      </c>
      <c r="AC57" s="227" t="n">
        <v>0.03</v>
      </c>
      <c r="AD57" s="226" t="n">
        <v>0.25</v>
      </c>
      <c r="AE57" s="227" t="n">
        <v>0.032</v>
      </c>
      <c r="AF57" s="227" t="n">
        <v>0.258</v>
      </c>
      <c r="AG57" s="227" t="n">
        <v>0.57</v>
      </c>
      <c r="AH57" s="227" t="n">
        <v>0.032</v>
      </c>
      <c r="AI57" s="227" t="n">
        <v>0.37</v>
      </c>
      <c r="AJ57" s="227" t="n">
        <v>0</v>
      </c>
    </row>
    <row r="58" customFormat="false" ht="12.75" hidden="false" customHeight="false" outlineLevel="0" collapsed="false">
      <c r="D58" s="226" t="n">
        <v>38749</v>
      </c>
      <c r="E58" s="227" t="n">
        <v>0.0404225281037038</v>
      </c>
      <c r="F58" s="227" t="n">
        <v>4.2085</v>
      </c>
      <c r="G58" s="227" t="n">
        <v>0.25</v>
      </c>
      <c r="H58" s="227" t="n">
        <v>-0.13</v>
      </c>
      <c r="I58" s="227" t="n">
        <v>0.005</v>
      </c>
      <c r="J58" s="227" t="n">
        <v>0.25</v>
      </c>
      <c r="K58" s="227" t="n">
        <v>-0.075</v>
      </c>
      <c r="L58" s="227" t="n">
        <v>0.005</v>
      </c>
      <c r="M58" s="227" t="n">
        <v>0.25</v>
      </c>
      <c r="N58" s="227" t="n">
        <v>-0.24</v>
      </c>
      <c r="O58" s="227" t="n">
        <v>0.035</v>
      </c>
      <c r="P58" s="227" t="n">
        <v>0.25</v>
      </c>
      <c r="Q58" s="227" t="n">
        <v>-0.24</v>
      </c>
      <c r="R58" s="227" t="n">
        <v>0.025</v>
      </c>
      <c r="S58" s="227" t="n">
        <v>-0.32</v>
      </c>
      <c r="T58" s="227" t="n">
        <v>0.057</v>
      </c>
      <c r="U58" s="227" t="n">
        <v>-0.32</v>
      </c>
      <c r="V58" s="227" t="n">
        <v>0.03</v>
      </c>
      <c r="W58" s="227" t="n">
        <v>-0.4</v>
      </c>
      <c r="X58" s="227" t="n">
        <v>0.0052808763003387</v>
      </c>
      <c r="Y58" s="227" t="n">
        <v>0.248</v>
      </c>
      <c r="Z58" s="227" t="n">
        <v>0.06</v>
      </c>
      <c r="AA58" s="227" t="n">
        <v>0.255</v>
      </c>
      <c r="AB58" s="227" t="n">
        <v>0.19</v>
      </c>
      <c r="AC58" s="227" t="n">
        <v>0.03</v>
      </c>
      <c r="AD58" s="226" t="n">
        <v>0.25</v>
      </c>
      <c r="AE58" s="227" t="n">
        <v>0.032</v>
      </c>
      <c r="AF58" s="227" t="n">
        <v>0.25</v>
      </c>
      <c r="AG58" s="227" t="n">
        <v>0.57</v>
      </c>
      <c r="AH58" s="227" t="n">
        <v>0.032</v>
      </c>
      <c r="AI58" s="227" t="n">
        <v>0.37</v>
      </c>
      <c r="AJ58" s="227" t="n">
        <v>0</v>
      </c>
    </row>
    <row r="59" customFormat="false" ht="12.75" hidden="false" customHeight="false" outlineLevel="0" collapsed="false">
      <c r="D59" s="226" t="n">
        <v>38777</v>
      </c>
      <c r="E59" s="227" t="n">
        <v>0.040657960340885</v>
      </c>
      <c r="F59" s="227" t="n">
        <v>4.0695</v>
      </c>
      <c r="G59" s="227" t="n">
        <v>0.2425</v>
      </c>
      <c r="H59" s="227" t="n">
        <v>-0.13</v>
      </c>
      <c r="I59" s="227" t="n">
        <v>0.005</v>
      </c>
      <c r="J59" s="227" t="n">
        <v>0.243</v>
      </c>
      <c r="K59" s="227" t="n">
        <v>-0.075</v>
      </c>
      <c r="L59" s="227" t="n">
        <v>0.005</v>
      </c>
      <c r="M59" s="227" t="n">
        <v>0.243</v>
      </c>
      <c r="N59" s="227" t="n">
        <v>-0.24</v>
      </c>
      <c r="O59" s="227" t="n">
        <v>0.035</v>
      </c>
      <c r="P59" s="227" t="n">
        <v>0.243</v>
      </c>
      <c r="Q59" s="227" t="n">
        <v>-0.24</v>
      </c>
      <c r="R59" s="227" t="n">
        <v>0</v>
      </c>
      <c r="S59" s="227" t="n">
        <v>-0.32</v>
      </c>
      <c r="T59" s="227" t="n">
        <v>0.037</v>
      </c>
      <c r="U59" s="227" t="n">
        <v>-0.32</v>
      </c>
      <c r="V59" s="227" t="n">
        <v>0.03</v>
      </c>
      <c r="W59" s="227" t="n">
        <v>-0.4</v>
      </c>
      <c r="X59" s="227" t="n">
        <v>0.0052789926228568</v>
      </c>
      <c r="Y59" s="227" t="n">
        <v>0.068</v>
      </c>
      <c r="Z59" s="227" t="n">
        <v>0.06</v>
      </c>
      <c r="AA59" s="227" t="n">
        <v>0.247</v>
      </c>
      <c r="AB59" s="227" t="n">
        <v>0.19</v>
      </c>
      <c r="AC59" s="227" t="n">
        <v>0.03</v>
      </c>
      <c r="AD59" s="226" t="n">
        <v>0.25</v>
      </c>
      <c r="AE59" s="227" t="n">
        <v>0.032</v>
      </c>
      <c r="AF59" s="227" t="n">
        <v>0.243</v>
      </c>
      <c r="AG59" s="227" t="n">
        <v>0.57</v>
      </c>
      <c r="AH59" s="227" t="n">
        <v>0.032</v>
      </c>
      <c r="AI59" s="227" t="n">
        <v>0.37</v>
      </c>
      <c r="AJ59" s="227" t="n">
        <v>0</v>
      </c>
    </row>
    <row r="60" customFormat="false" ht="12.75" hidden="false" customHeight="false" outlineLevel="0" collapsed="false">
      <c r="D60" s="226" t="n">
        <v>38808</v>
      </c>
      <c r="E60" s="227" t="n">
        <v>0.0409186174823071</v>
      </c>
      <c r="F60" s="227" t="n">
        <v>3.9155</v>
      </c>
      <c r="G60" s="227" t="n">
        <v>0.24</v>
      </c>
      <c r="H60" s="227" t="n">
        <v>-0.2</v>
      </c>
      <c r="I60" s="227" t="n">
        <v>0.0025</v>
      </c>
      <c r="J60" s="227" t="n">
        <v>0.24</v>
      </c>
      <c r="K60" s="227" t="n">
        <v>-0.075</v>
      </c>
      <c r="L60" s="227" t="n">
        <v>0.005</v>
      </c>
      <c r="M60" s="227" t="n">
        <v>0.24</v>
      </c>
      <c r="N60" s="227" t="n">
        <v>-0.34</v>
      </c>
      <c r="O60" s="227" t="n">
        <v>0.02</v>
      </c>
      <c r="P60" s="227" t="n">
        <v>0.24</v>
      </c>
      <c r="Q60" s="227" t="n">
        <v>-0.34</v>
      </c>
      <c r="R60" s="227" t="n">
        <v>0</v>
      </c>
      <c r="S60" s="227" t="n">
        <v>-0.42</v>
      </c>
      <c r="T60" s="227" t="n">
        <v>0.02</v>
      </c>
      <c r="U60" s="227" t="n">
        <v>-0.42</v>
      </c>
      <c r="V60" s="227" t="n">
        <v>0.01</v>
      </c>
      <c r="W60" s="227" t="n">
        <v>-0.44</v>
      </c>
      <c r="X60" s="227" t="n">
        <v>0.0016490123019656</v>
      </c>
      <c r="Y60" s="227" t="n">
        <v>-0.25</v>
      </c>
      <c r="Z60" s="227" t="n">
        <v>0.02</v>
      </c>
      <c r="AA60" s="227" t="n">
        <v>0.245</v>
      </c>
      <c r="AB60" s="227" t="n">
        <v>0.165</v>
      </c>
      <c r="AC60" s="227" t="n">
        <v>0.03</v>
      </c>
      <c r="AD60" s="226" t="n">
        <v>0.26</v>
      </c>
      <c r="AE60" s="227" t="n">
        <v>0.032</v>
      </c>
      <c r="AF60" s="227" t="n">
        <v>0.24</v>
      </c>
      <c r="AG60" s="227" t="n">
        <v>0.44</v>
      </c>
      <c r="AH60" s="227" t="n">
        <v>0.032</v>
      </c>
      <c r="AI60" s="227" t="n">
        <v>0.24</v>
      </c>
      <c r="AJ60" s="227" t="n">
        <v>0</v>
      </c>
    </row>
    <row r="61" customFormat="false" ht="12.75" hidden="false" customHeight="false" outlineLevel="0" collapsed="false">
      <c r="D61" s="226" t="n">
        <v>38838</v>
      </c>
      <c r="E61" s="227" t="n">
        <v>0.0411708663505404</v>
      </c>
      <c r="F61" s="227" t="n">
        <v>3.9205</v>
      </c>
      <c r="G61" s="227" t="n">
        <v>0.2375</v>
      </c>
      <c r="H61" s="227" t="n">
        <v>-0.2</v>
      </c>
      <c r="I61" s="227" t="n">
        <v>0.0025</v>
      </c>
      <c r="J61" s="227" t="n">
        <v>0.238</v>
      </c>
      <c r="K61" s="227" t="n">
        <v>-0.075</v>
      </c>
      <c r="L61" s="227" t="n">
        <v>0.005</v>
      </c>
      <c r="M61" s="227" t="n">
        <v>0.238</v>
      </c>
      <c r="N61" s="227" t="n">
        <v>-0.34</v>
      </c>
      <c r="O61" s="227" t="n">
        <v>0.02</v>
      </c>
      <c r="P61" s="227" t="n">
        <v>0.238</v>
      </c>
      <c r="Q61" s="227" t="n">
        <v>-0.34</v>
      </c>
      <c r="R61" s="227" t="n">
        <v>0</v>
      </c>
      <c r="S61" s="227" t="n">
        <v>-0.42</v>
      </c>
      <c r="T61" s="227" t="n">
        <v>0.02</v>
      </c>
      <c r="U61" s="227" t="n">
        <v>-0.42</v>
      </c>
      <c r="V61" s="227" t="n">
        <v>0.01</v>
      </c>
      <c r="W61" s="227" t="n">
        <v>-0.44</v>
      </c>
      <c r="X61" s="227" t="n">
        <v>0.0016483399641308</v>
      </c>
      <c r="Y61" s="227" t="n">
        <v>-0.25</v>
      </c>
      <c r="Z61" s="227" t="n">
        <v>0.02</v>
      </c>
      <c r="AA61" s="227" t="n">
        <v>0.242</v>
      </c>
      <c r="AB61" s="227" t="n">
        <v>0.165</v>
      </c>
      <c r="AC61" s="227" t="n">
        <v>0.03</v>
      </c>
      <c r="AD61" s="226" t="n">
        <v>0.26</v>
      </c>
      <c r="AE61" s="227" t="n">
        <v>0.032</v>
      </c>
      <c r="AF61" s="227" t="n">
        <v>0.238</v>
      </c>
      <c r="AG61" s="227" t="n">
        <v>0.44</v>
      </c>
      <c r="AH61" s="227" t="n">
        <v>0.032</v>
      </c>
      <c r="AI61" s="227" t="n">
        <v>0.24</v>
      </c>
      <c r="AJ61" s="227" t="n">
        <v>0</v>
      </c>
    </row>
    <row r="62" customFormat="false" ht="12.75" hidden="false" customHeight="false" outlineLevel="0" collapsed="false">
      <c r="D62" s="226" t="n">
        <v>38869</v>
      </c>
      <c r="E62" s="227" t="n">
        <v>0.0414315235367959</v>
      </c>
      <c r="F62" s="227" t="n">
        <v>3.9585</v>
      </c>
      <c r="G62" s="227" t="n">
        <v>0.2375</v>
      </c>
      <c r="H62" s="227" t="n">
        <v>-0.2</v>
      </c>
      <c r="I62" s="227" t="n">
        <v>0.0025</v>
      </c>
      <c r="J62" s="227" t="n">
        <v>0.238</v>
      </c>
      <c r="K62" s="227" t="n">
        <v>-0.075</v>
      </c>
      <c r="L62" s="227" t="n">
        <v>0.005</v>
      </c>
      <c r="M62" s="227" t="n">
        <v>0.238</v>
      </c>
      <c r="N62" s="227" t="n">
        <v>-0.34</v>
      </c>
      <c r="O62" s="227" t="n">
        <v>0.02</v>
      </c>
      <c r="P62" s="227" t="n">
        <v>0.238</v>
      </c>
      <c r="Q62" s="227" t="n">
        <v>-0.34</v>
      </c>
      <c r="R62" s="227" t="n">
        <v>0</v>
      </c>
      <c r="S62" s="227" t="n">
        <v>-0.42</v>
      </c>
      <c r="T62" s="227" t="n">
        <v>0.02</v>
      </c>
      <c r="U62" s="227" t="n">
        <v>-0.42</v>
      </c>
      <c r="V62" s="227" t="n">
        <v>0.01</v>
      </c>
      <c r="W62" s="227" t="n">
        <v>-0.44</v>
      </c>
      <c r="X62" s="227" t="n">
        <v>0.0016476233958747</v>
      </c>
      <c r="Y62" s="227" t="n">
        <v>-0.25</v>
      </c>
      <c r="Z62" s="227" t="n">
        <v>0.02</v>
      </c>
      <c r="AA62" s="227" t="n">
        <v>0.242</v>
      </c>
      <c r="AB62" s="227" t="n">
        <v>0.165</v>
      </c>
      <c r="AC62" s="227" t="n">
        <v>0.03</v>
      </c>
      <c r="AD62" s="226" t="n">
        <v>0.26</v>
      </c>
      <c r="AE62" s="227" t="n">
        <v>0.032</v>
      </c>
      <c r="AF62" s="227" t="n">
        <v>0.238</v>
      </c>
      <c r="AG62" s="227" t="n">
        <v>0.44</v>
      </c>
      <c r="AH62" s="227" t="n">
        <v>0.032</v>
      </c>
      <c r="AI62" s="227" t="n">
        <v>0.24</v>
      </c>
      <c r="AJ62" s="227" t="n">
        <v>0</v>
      </c>
    </row>
    <row r="63" customFormat="false" ht="12.75" hidden="false" customHeight="false" outlineLevel="0" collapsed="false">
      <c r="D63" s="226" t="n">
        <v>38899</v>
      </c>
      <c r="E63" s="227" t="n">
        <v>0.0416837724484105</v>
      </c>
      <c r="F63" s="227" t="n">
        <v>4.0035</v>
      </c>
      <c r="G63" s="227" t="n">
        <v>0.2375</v>
      </c>
      <c r="H63" s="227" t="n">
        <v>-0.2</v>
      </c>
      <c r="I63" s="227" t="n">
        <v>0.0025</v>
      </c>
      <c r="J63" s="227" t="n">
        <v>0.238</v>
      </c>
      <c r="K63" s="227" t="n">
        <v>-0.075</v>
      </c>
      <c r="L63" s="227" t="n">
        <v>0.005</v>
      </c>
      <c r="M63" s="227" t="n">
        <v>0.238</v>
      </c>
      <c r="N63" s="227" t="n">
        <v>-0.34</v>
      </c>
      <c r="O63" s="227" t="n">
        <v>0.02</v>
      </c>
      <c r="P63" s="227" t="n">
        <v>0.238</v>
      </c>
      <c r="Q63" s="227" t="n">
        <v>-0.34</v>
      </c>
      <c r="R63" s="227" t="n">
        <v>0</v>
      </c>
      <c r="S63" s="227" t="n">
        <v>-0.42</v>
      </c>
      <c r="T63" s="227" t="n">
        <v>0.02</v>
      </c>
      <c r="U63" s="227" t="n">
        <v>-0.42</v>
      </c>
      <c r="V63" s="227" t="n">
        <v>0.01</v>
      </c>
      <c r="W63" s="227" t="n">
        <v>-0.44</v>
      </c>
      <c r="X63" s="227" t="n">
        <v>0.0016469088638712</v>
      </c>
      <c r="Y63" s="227" t="n">
        <v>-0.25</v>
      </c>
      <c r="Z63" s="227" t="n">
        <v>0.02</v>
      </c>
      <c r="AA63" s="227" t="n">
        <v>0.242</v>
      </c>
      <c r="AB63" s="227" t="n">
        <v>0.165</v>
      </c>
      <c r="AC63" s="227" t="n">
        <v>0.03</v>
      </c>
      <c r="AD63" s="226" t="n">
        <v>0.26</v>
      </c>
      <c r="AE63" s="227" t="n">
        <v>0.032</v>
      </c>
      <c r="AF63" s="227" t="n">
        <v>0.238</v>
      </c>
      <c r="AG63" s="227" t="n">
        <v>0.44</v>
      </c>
      <c r="AH63" s="227" t="n">
        <v>0.032</v>
      </c>
      <c r="AI63" s="227" t="n">
        <v>0.24</v>
      </c>
      <c r="AJ63" s="227" t="n">
        <v>0</v>
      </c>
    </row>
    <row r="64" customFormat="false" ht="12.75" hidden="false" customHeight="false" outlineLevel="0" collapsed="false">
      <c r="D64" s="226" t="n">
        <v>38930</v>
      </c>
      <c r="E64" s="227" t="n">
        <v>0.0419444296794889</v>
      </c>
      <c r="F64" s="227" t="n">
        <v>4.0415</v>
      </c>
      <c r="G64" s="227" t="n">
        <v>0.2375</v>
      </c>
      <c r="H64" s="227" t="n">
        <v>-0.2</v>
      </c>
      <c r="I64" s="227" t="n">
        <v>0.0025</v>
      </c>
      <c r="J64" s="227" t="n">
        <v>0.238</v>
      </c>
      <c r="K64" s="227" t="n">
        <v>-0.075</v>
      </c>
      <c r="L64" s="227" t="n">
        <v>0.005</v>
      </c>
      <c r="M64" s="227" t="n">
        <v>0.238</v>
      </c>
      <c r="N64" s="227" t="n">
        <v>-0.34</v>
      </c>
      <c r="O64" s="227" t="n">
        <v>0.02</v>
      </c>
      <c r="P64" s="227" t="n">
        <v>0.238</v>
      </c>
      <c r="Q64" s="227" t="n">
        <v>-0.34</v>
      </c>
      <c r="R64" s="227" t="n">
        <v>0</v>
      </c>
      <c r="S64" s="227" t="n">
        <v>-0.42</v>
      </c>
      <c r="T64" s="227" t="n">
        <v>0.02</v>
      </c>
      <c r="U64" s="227" t="n">
        <v>-0.42</v>
      </c>
      <c r="V64" s="227" t="n">
        <v>0.01</v>
      </c>
      <c r="W64" s="227" t="n">
        <v>-0.44</v>
      </c>
      <c r="X64" s="227" t="n">
        <v>0.0016461487715791</v>
      </c>
      <c r="Y64" s="227" t="n">
        <v>-0.25</v>
      </c>
      <c r="Z64" s="227" t="n">
        <v>0.02</v>
      </c>
      <c r="AA64" s="227" t="n">
        <v>0.242</v>
      </c>
      <c r="AB64" s="227" t="n">
        <v>0.165</v>
      </c>
      <c r="AC64" s="227" t="n">
        <v>0.03</v>
      </c>
      <c r="AD64" s="226" t="n">
        <v>0.26</v>
      </c>
      <c r="AE64" s="227" t="n">
        <v>0.032</v>
      </c>
      <c r="AF64" s="227" t="n">
        <v>0.238</v>
      </c>
      <c r="AG64" s="227" t="n">
        <v>0.44</v>
      </c>
      <c r="AH64" s="227" t="n">
        <v>0.032</v>
      </c>
      <c r="AI64" s="227" t="n">
        <v>0.24</v>
      </c>
      <c r="AJ64" s="227" t="n">
        <v>0</v>
      </c>
    </row>
    <row r="65" customFormat="false" ht="12.75" hidden="false" customHeight="false" outlineLevel="0" collapsed="false">
      <c r="D65" s="226" t="n">
        <v>38961</v>
      </c>
      <c r="E65" s="227" t="n">
        <v>0.0422050869333415</v>
      </c>
      <c r="F65" s="227" t="n">
        <v>4.0355</v>
      </c>
      <c r="G65" s="227" t="n">
        <v>0.2375</v>
      </c>
      <c r="H65" s="227" t="n">
        <v>-0.2</v>
      </c>
      <c r="I65" s="227" t="n">
        <v>0.0025</v>
      </c>
      <c r="J65" s="227" t="n">
        <v>0.238</v>
      </c>
      <c r="K65" s="227" t="n">
        <v>-0.075</v>
      </c>
      <c r="L65" s="227" t="n">
        <v>0.005</v>
      </c>
      <c r="M65" s="227" t="n">
        <v>0.238</v>
      </c>
      <c r="N65" s="227" t="n">
        <v>-0.34</v>
      </c>
      <c r="O65" s="227" t="n">
        <v>0.02</v>
      </c>
      <c r="P65" s="227" t="n">
        <v>0.238</v>
      </c>
      <c r="Q65" s="227" t="n">
        <v>-0.34</v>
      </c>
      <c r="R65" s="227" t="n">
        <v>0</v>
      </c>
      <c r="S65" s="227" t="n">
        <v>-0.42</v>
      </c>
      <c r="T65" s="227" t="n">
        <v>0.02</v>
      </c>
      <c r="U65" s="227" t="n">
        <v>-0.42</v>
      </c>
      <c r="V65" s="227" t="n">
        <v>0.0125</v>
      </c>
      <c r="W65" s="227" t="n">
        <v>-0.44</v>
      </c>
      <c r="X65" s="227" t="n">
        <v>0.0016453666207092</v>
      </c>
      <c r="Y65" s="227" t="n">
        <v>-0.25</v>
      </c>
      <c r="Z65" s="227" t="n">
        <v>0.02</v>
      </c>
      <c r="AA65" s="227" t="n">
        <v>0.242</v>
      </c>
      <c r="AB65" s="227" t="n">
        <v>0.165</v>
      </c>
      <c r="AC65" s="227" t="n">
        <v>0.03</v>
      </c>
      <c r="AD65" s="226" t="n">
        <v>0.26</v>
      </c>
      <c r="AE65" s="227" t="n">
        <v>0.032</v>
      </c>
      <c r="AF65" s="227" t="n">
        <v>0.238</v>
      </c>
      <c r="AG65" s="227" t="n">
        <v>0.44</v>
      </c>
      <c r="AH65" s="227" t="n">
        <v>0.032</v>
      </c>
      <c r="AI65" s="227" t="n">
        <v>0.24</v>
      </c>
      <c r="AJ65" s="227" t="n">
        <v>0</v>
      </c>
    </row>
    <row r="66" customFormat="false" ht="12.75" hidden="false" customHeight="false" outlineLevel="0" collapsed="false">
      <c r="D66" s="226" t="n">
        <v>38991</v>
      </c>
      <c r="E66" s="227" t="n">
        <v>0.0424573359103642</v>
      </c>
      <c r="F66" s="227" t="n">
        <v>4.0355</v>
      </c>
      <c r="G66" s="227" t="n">
        <v>0.2375</v>
      </c>
      <c r="H66" s="227" t="n">
        <v>-0.2</v>
      </c>
      <c r="I66" s="227" t="n">
        <v>0.0025</v>
      </c>
      <c r="J66" s="227" t="n">
        <v>0.238</v>
      </c>
      <c r="K66" s="227" t="n">
        <v>-0.075</v>
      </c>
      <c r="L66" s="227" t="n">
        <v>0.005</v>
      </c>
      <c r="M66" s="227" t="n">
        <v>0.238</v>
      </c>
      <c r="N66" s="227" t="n">
        <v>-0.34</v>
      </c>
      <c r="O66" s="227" t="n">
        <v>0.02</v>
      </c>
      <c r="P66" s="227" t="n">
        <v>0.238</v>
      </c>
      <c r="Q66" s="227" t="n">
        <v>-0.34</v>
      </c>
      <c r="R66" s="227" t="n">
        <v>0</v>
      </c>
      <c r="S66" s="227" t="n">
        <v>-0.42</v>
      </c>
      <c r="T66" s="227" t="n">
        <v>0.02</v>
      </c>
      <c r="U66" s="227" t="n">
        <v>-0.42</v>
      </c>
      <c r="V66" s="227" t="n">
        <v>0.03</v>
      </c>
      <c r="W66" s="227" t="n">
        <v>-0.44</v>
      </c>
      <c r="X66" s="227" t="n">
        <v>0.0016445887370856</v>
      </c>
      <c r="Y66" s="227" t="n">
        <v>-0.25</v>
      </c>
      <c r="Z66" s="227" t="n">
        <v>0.02</v>
      </c>
      <c r="AA66" s="227" t="n">
        <v>0.242</v>
      </c>
      <c r="AB66" s="227" t="n">
        <v>0.165</v>
      </c>
      <c r="AC66" s="227" t="n">
        <v>0.03</v>
      </c>
      <c r="AD66" s="226" t="n">
        <v>0.26</v>
      </c>
      <c r="AE66" s="227" t="n">
        <v>0.032</v>
      </c>
      <c r="AF66" s="227" t="n">
        <v>0.238</v>
      </c>
      <c r="AG66" s="227" t="n">
        <v>0.44</v>
      </c>
      <c r="AH66" s="227" t="n">
        <v>0.032</v>
      </c>
      <c r="AI66" s="227" t="n">
        <v>0.24</v>
      </c>
      <c r="AJ66" s="227" t="n">
        <v>0</v>
      </c>
    </row>
    <row r="67" customFormat="false" ht="12.75" hidden="false" customHeight="false" outlineLevel="0" collapsed="false">
      <c r="D67" s="226" t="n">
        <v>39022</v>
      </c>
      <c r="E67" s="227" t="n">
        <v>0.0427179932090227</v>
      </c>
      <c r="F67" s="227" t="n">
        <v>4.2055</v>
      </c>
      <c r="G67" s="227" t="n">
        <v>0.2375</v>
      </c>
      <c r="H67" s="227" t="n">
        <v>-0.13</v>
      </c>
      <c r="I67" s="227" t="n">
        <v>0.005</v>
      </c>
      <c r="J67" s="227" t="n">
        <v>0.238</v>
      </c>
      <c r="K67" s="227" t="n">
        <v>-0.075</v>
      </c>
      <c r="L67" s="227" t="n">
        <v>0.005</v>
      </c>
      <c r="M67" s="227" t="n">
        <v>0.238</v>
      </c>
      <c r="N67" s="227" t="n">
        <v>-0.24</v>
      </c>
      <c r="O67" s="227" t="n">
        <v>0.035</v>
      </c>
      <c r="P67" s="227" t="n">
        <v>0.238</v>
      </c>
      <c r="Q67" s="227" t="n">
        <v>-0.24</v>
      </c>
      <c r="R67" s="227" t="n">
        <v>0.14</v>
      </c>
      <c r="S67" s="227" t="n">
        <v>-0.32</v>
      </c>
      <c r="T67" s="227" t="n">
        <v>0.16</v>
      </c>
      <c r="U67" s="227" t="n">
        <v>-0.32</v>
      </c>
      <c r="V67" s="227" t="n">
        <v>0.03</v>
      </c>
      <c r="W67" s="227" t="n">
        <v>-0.4</v>
      </c>
      <c r="X67" s="227" t="n">
        <v>0.0052600425702905</v>
      </c>
      <c r="Y67" s="227" t="n">
        <v>0.248</v>
      </c>
      <c r="Z67" s="227" t="n">
        <v>0.06</v>
      </c>
      <c r="AA67" s="227" t="n">
        <v>0.242</v>
      </c>
      <c r="AB67" s="227" t="n">
        <v>0.19</v>
      </c>
      <c r="AC67" s="227" t="n">
        <v>0.03</v>
      </c>
      <c r="AD67" s="226" t="n">
        <v>0.25</v>
      </c>
      <c r="AE67" s="227" t="n">
        <v>0.034</v>
      </c>
      <c r="AF67" s="227" t="n">
        <v>0.238</v>
      </c>
      <c r="AG67" s="227" t="n">
        <v>0.5</v>
      </c>
      <c r="AH67" s="227" t="n">
        <v>0.034</v>
      </c>
      <c r="AI67" s="227" t="n">
        <v>0.3</v>
      </c>
      <c r="AJ67" s="227" t="n">
        <v>0</v>
      </c>
    </row>
    <row r="68" customFormat="false" ht="12.75" hidden="false" customHeight="false" outlineLevel="0" collapsed="false">
      <c r="D68" s="226" t="n">
        <v>39052</v>
      </c>
      <c r="E68" s="227" t="n">
        <v>0.0428931059210944</v>
      </c>
      <c r="F68" s="227" t="n">
        <v>4.3365</v>
      </c>
      <c r="G68" s="227" t="n">
        <v>0.24</v>
      </c>
      <c r="H68" s="227" t="n">
        <v>-0.13</v>
      </c>
      <c r="I68" s="227" t="n">
        <v>0.005</v>
      </c>
      <c r="J68" s="227" t="n">
        <v>0.24</v>
      </c>
      <c r="K68" s="227" t="n">
        <v>-0.075</v>
      </c>
      <c r="L68" s="227" t="n">
        <v>0.005</v>
      </c>
      <c r="M68" s="227" t="n">
        <v>0.24</v>
      </c>
      <c r="N68" s="227" t="n">
        <v>-0.24</v>
      </c>
      <c r="O68" s="227" t="n">
        <v>0.035</v>
      </c>
      <c r="P68" s="227" t="n">
        <v>0.24</v>
      </c>
      <c r="Q68" s="227" t="n">
        <v>-0.24</v>
      </c>
      <c r="R68" s="227" t="n">
        <v>0</v>
      </c>
      <c r="S68" s="227" t="n">
        <v>-0.32</v>
      </c>
      <c r="T68" s="227" t="n">
        <v>0.059</v>
      </c>
      <c r="U68" s="227" t="n">
        <v>-0.32</v>
      </c>
      <c r="V68" s="227" t="n">
        <v>0.03</v>
      </c>
      <c r="W68" s="227" t="n">
        <v>-0.4</v>
      </c>
      <c r="X68" s="227" t="n">
        <v>0.0052598824272022</v>
      </c>
      <c r="Y68" s="227" t="n">
        <v>0.308</v>
      </c>
      <c r="Z68" s="227" t="n">
        <v>0.06</v>
      </c>
      <c r="AA68" s="227" t="n">
        <v>0.245</v>
      </c>
      <c r="AB68" s="227" t="n">
        <v>0.19</v>
      </c>
      <c r="AC68" s="227" t="n">
        <v>0.03</v>
      </c>
      <c r="AD68" s="226" t="n">
        <v>0.25</v>
      </c>
      <c r="AE68" s="227" t="n">
        <v>0.034</v>
      </c>
      <c r="AF68" s="227" t="n">
        <v>0.24</v>
      </c>
      <c r="AG68" s="227" t="n">
        <v>0.57</v>
      </c>
      <c r="AH68" s="227" t="n">
        <v>0.034</v>
      </c>
      <c r="AI68" s="227" t="n">
        <v>0.37</v>
      </c>
      <c r="AJ68" s="227" t="n">
        <v>0</v>
      </c>
    </row>
    <row r="69" customFormat="false" ht="12.75" hidden="false" customHeight="false" outlineLevel="0" collapsed="false">
      <c r="D69" s="226" t="n">
        <v>39083</v>
      </c>
      <c r="E69" s="227" t="n">
        <v>0.0430581142299289</v>
      </c>
      <c r="F69" s="227" t="n">
        <v>4.3965</v>
      </c>
      <c r="G69" s="227" t="n">
        <v>0.2425</v>
      </c>
      <c r="H69" s="227" t="n">
        <v>-0.13</v>
      </c>
      <c r="I69" s="227" t="n">
        <v>0.005</v>
      </c>
      <c r="J69" s="227" t="n">
        <v>0.243</v>
      </c>
      <c r="K69" s="227" t="n">
        <v>-0.07</v>
      </c>
      <c r="L69" s="227" t="n">
        <v>0.005</v>
      </c>
      <c r="M69" s="227" t="n">
        <v>0.243</v>
      </c>
      <c r="N69" s="227" t="n">
        <v>-0.24</v>
      </c>
      <c r="O69" s="227" t="n">
        <v>0.035</v>
      </c>
      <c r="P69" s="227" t="n">
        <v>0.243</v>
      </c>
      <c r="Q69" s="227" t="n">
        <v>-0.24</v>
      </c>
      <c r="R69" s="227" t="n">
        <v>0.025</v>
      </c>
      <c r="S69" s="227" t="n">
        <v>-0.32</v>
      </c>
      <c r="T69" s="227" t="n">
        <v>0.059</v>
      </c>
      <c r="U69" s="227" t="n">
        <v>-0.32</v>
      </c>
      <c r="V69" s="227" t="n">
        <v>0.03</v>
      </c>
      <c r="W69" s="227" t="n">
        <v>-0.4</v>
      </c>
      <c r="X69" s="227" t="n">
        <v>0.0052593055137642</v>
      </c>
      <c r="Y69" s="227" t="n">
        <v>0.378</v>
      </c>
      <c r="Z69" s="227" t="n">
        <v>0.06</v>
      </c>
      <c r="AA69" s="227" t="n">
        <v>0.247</v>
      </c>
      <c r="AB69" s="227" t="n">
        <v>0.19</v>
      </c>
      <c r="AC69" s="227" t="n">
        <v>0.03</v>
      </c>
      <c r="AD69" s="226" t="n">
        <v>0.25</v>
      </c>
      <c r="AE69" s="227" t="n">
        <v>0.034</v>
      </c>
      <c r="AF69" s="227" t="n">
        <v>0.243</v>
      </c>
      <c r="AG69" s="227" t="n">
        <v>0.57</v>
      </c>
      <c r="AH69" s="227" t="n">
        <v>0.034</v>
      </c>
      <c r="AI69" s="227" t="n">
        <v>0.37</v>
      </c>
      <c r="AJ69" s="227" t="n">
        <v>0</v>
      </c>
    </row>
    <row r="70" customFormat="false" ht="12.75" hidden="false" customHeight="false" outlineLevel="0" collapsed="false">
      <c r="D70" s="226" t="n">
        <v>39114</v>
      </c>
      <c r="E70" s="227" t="n">
        <v>0.0432231225478845</v>
      </c>
      <c r="F70" s="227" t="n">
        <v>4.3085</v>
      </c>
      <c r="G70" s="227" t="n">
        <v>0.2375</v>
      </c>
      <c r="H70" s="227" t="n">
        <v>-0.13</v>
      </c>
      <c r="I70" s="227" t="n">
        <v>0.005</v>
      </c>
      <c r="J70" s="227" t="n">
        <v>0.238</v>
      </c>
      <c r="K70" s="227" t="n">
        <v>-0.07</v>
      </c>
      <c r="L70" s="227" t="n">
        <v>0.005</v>
      </c>
      <c r="M70" s="227" t="n">
        <v>0.238</v>
      </c>
      <c r="N70" s="227" t="n">
        <v>-0.24</v>
      </c>
      <c r="O70" s="227" t="n">
        <v>0.035</v>
      </c>
      <c r="P70" s="227" t="n">
        <v>0.238</v>
      </c>
      <c r="Q70" s="227" t="n">
        <v>-0.24</v>
      </c>
      <c r="R70" s="227" t="n">
        <v>0.025</v>
      </c>
      <c r="S70" s="227" t="n">
        <v>-0.32</v>
      </c>
      <c r="T70" s="227" t="n">
        <v>0.059</v>
      </c>
      <c r="U70" s="227" t="n">
        <v>-0.32</v>
      </c>
      <c r="V70" s="227" t="n">
        <v>0.03</v>
      </c>
      <c r="W70" s="227" t="n">
        <v>-0.4</v>
      </c>
      <c r="X70" s="227" t="n">
        <v>0.0052587276075066</v>
      </c>
      <c r="Y70" s="227" t="n">
        <v>0.248</v>
      </c>
      <c r="Z70" s="227" t="n">
        <v>0.06</v>
      </c>
      <c r="AA70" s="227" t="n">
        <v>0.242</v>
      </c>
      <c r="AB70" s="227" t="n">
        <v>0.19</v>
      </c>
      <c r="AC70" s="227" t="n">
        <v>0.03</v>
      </c>
      <c r="AD70" s="226" t="n">
        <v>0.25</v>
      </c>
      <c r="AE70" s="227" t="n">
        <v>0.034</v>
      </c>
      <c r="AF70" s="227" t="n">
        <v>0.238</v>
      </c>
      <c r="AG70" s="227" t="n">
        <v>0.57</v>
      </c>
      <c r="AH70" s="227" t="n">
        <v>0.034</v>
      </c>
      <c r="AI70" s="227" t="n">
        <v>0.37</v>
      </c>
      <c r="AJ70" s="227" t="n">
        <v>0</v>
      </c>
    </row>
    <row r="71" customFormat="false" ht="12.75" hidden="false" customHeight="false" outlineLevel="0" collapsed="false">
      <c r="D71" s="226" t="n">
        <v>39142</v>
      </c>
      <c r="E71" s="227" t="n">
        <v>0.0433721623267811</v>
      </c>
      <c r="F71" s="227" t="n">
        <v>4.1695</v>
      </c>
      <c r="G71" s="227" t="n">
        <v>0.2325</v>
      </c>
      <c r="H71" s="227" t="n">
        <v>-0.13</v>
      </c>
      <c r="I71" s="227" t="n">
        <v>0.005</v>
      </c>
      <c r="J71" s="227" t="n">
        <v>0.233</v>
      </c>
      <c r="K71" s="227" t="n">
        <v>-0.07</v>
      </c>
      <c r="L71" s="227" t="n">
        <v>0.005</v>
      </c>
      <c r="M71" s="227" t="n">
        <v>0.233</v>
      </c>
      <c r="N71" s="227" t="n">
        <v>-0.24</v>
      </c>
      <c r="O71" s="227" t="n">
        <v>0.035</v>
      </c>
      <c r="P71" s="227" t="n">
        <v>0.233</v>
      </c>
      <c r="Q71" s="227" t="n">
        <v>-0.24</v>
      </c>
      <c r="R71" s="227" t="n">
        <v>0</v>
      </c>
      <c r="S71" s="227" t="n">
        <v>-0.32</v>
      </c>
      <c r="T71" s="227" t="n">
        <v>0.039</v>
      </c>
      <c r="U71" s="227" t="n">
        <v>-0.32</v>
      </c>
      <c r="V71" s="227" t="n">
        <v>0.03</v>
      </c>
      <c r="W71" s="227" t="n">
        <v>-0.4</v>
      </c>
      <c r="X71" s="227" t="n">
        <v>0.0052582047748086</v>
      </c>
      <c r="Y71" s="227" t="n">
        <v>0.068</v>
      </c>
      <c r="Z71" s="227" t="n">
        <v>0.06</v>
      </c>
      <c r="AA71" s="227" t="n">
        <v>0.237</v>
      </c>
      <c r="AB71" s="227" t="n">
        <v>0.19</v>
      </c>
      <c r="AC71" s="227" t="n">
        <v>0.03</v>
      </c>
      <c r="AD71" s="226" t="n">
        <v>0.25</v>
      </c>
      <c r="AE71" s="227" t="n">
        <v>0.034</v>
      </c>
      <c r="AF71" s="227" t="n">
        <v>0.233</v>
      </c>
      <c r="AG71" s="227" t="n">
        <v>0.57</v>
      </c>
      <c r="AH71" s="227" t="n">
        <v>0.034</v>
      </c>
      <c r="AI71" s="227" t="n">
        <v>0.37</v>
      </c>
      <c r="AJ71" s="227" t="n">
        <v>0</v>
      </c>
    </row>
    <row r="72" customFormat="false" ht="12.75" hidden="false" customHeight="false" outlineLevel="0" collapsed="false">
      <c r="D72" s="226" t="n">
        <v>39173</v>
      </c>
      <c r="E72" s="227" t="n">
        <v>0.0435371706620953</v>
      </c>
      <c r="F72" s="227" t="n">
        <v>4.0155</v>
      </c>
      <c r="G72" s="227" t="n">
        <v>0.2325</v>
      </c>
      <c r="H72" s="227" t="n">
        <v>-0.2</v>
      </c>
      <c r="I72" s="227" t="n">
        <v>0.0025</v>
      </c>
      <c r="J72" s="227" t="n">
        <v>0.233</v>
      </c>
      <c r="K72" s="227" t="n">
        <v>-0.07</v>
      </c>
      <c r="L72" s="227" t="n">
        <v>0.005</v>
      </c>
      <c r="M72" s="227" t="n">
        <v>0.233</v>
      </c>
      <c r="N72" s="227" t="n">
        <v>-0.34</v>
      </c>
      <c r="O72" s="227" t="n">
        <v>0.02</v>
      </c>
      <c r="P72" s="227" t="n">
        <v>0.233</v>
      </c>
      <c r="Q72" s="227" t="n">
        <v>-0.34</v>
      </c>
      <c r="R72" s="227" t="n">
        <v>0</v>
      </c>
      <c r="S72" s="227" t="n">
        <v>-0.42</v>
      </c>
      <c r="T72" s="227" t="n">
        <v>0.022</v>
      </c>
      <c r="U72" s="227" t="n">
        <v>-0.42</v>
      </c>
      <c r="V72" s="227" t="n">
        <v>0.01</v>
      </c>
      <c r="W72" s="227" t="n">
        <v>-0.45</v>
      </c>
      <c r="X72" s="227" t="n">
        <v>0.0016430078064509</v>
      </c>
      <c r="Y72" s="227" t="n">
        <v>-0.25</v>
      </c>
      <c r="Z72" s="227" t="n">
        <v>0.02</v>
      </c>
      <c r="AA72" s="227" t="n">
        <v>0.237</v>
      </c>
      <c r="AB72" s="227" t="n">
        <v>0.165</v>
      </c>
      <c r="AC72" s="227" t="n">
        <v>0.03</v>
      </c>
      <c r="AD72" s="226" t="n">
        <v>0.26</v>
      </c>
      <c r="AE72" s="227" t="n">
        <v>0.034</v>
      </c>
      <c r="AF72" s="227" t="n">
        <v>0.233</v>
      </c>
      <c r="AG72" s="227" t="n">
        <v>0.44</v>
      </c>
      <c r="AH72" s="227" t="n">
        <v>0.034</v>
      </c>
      <c r="AI72" s="227" t="n">
        <v>0.24</v>
      </c>
      <c r="AJ72" s="227" t="n">
        <v>0</v>
      </c>
    </row>
    <row r="73" customFormat="false" ht="12.75" hidden="false" customHeight="false" outlineLevel="0" collapsed="false">
      <c r="D73" s="226" t="n">
        <v>39203</v>
      </c>
      <c r="E73" s="227" t="n">
        <v>0.0436968561565667</v>
      </c>
      <c r="F73" s="227" t="n">
        <v>4.0205</v>
      </c>
      <c r="G73" s="227" t="n">
        <v>0.2325</v>
      </c>
      <c r="H73" s="227" t="n">
        <v>-0.2</v>
      </c>
      <c r="I73" s="227" t="n">
        <v>0.0025</v>
      </c>
      <c r="J73" s="227" t="n">
        <v>0.233</v>
      </c>
      <c r="K73" s="227" t="n">
        <v>-0.07</v>
      </c>
      <c r="L73" s="227" t="n">
        <v>0.005</v>
      </c>
      <c r="M73" s="227" t="n">
        <v>0.233</v>
      </c>
      <c r="N73" s="227" t="n">
        <v>-0.34</v>
      </c>
      <c r="O73" s="227" t="n">
        <v>0.02</v>
      </c>
      <c r="P73" s="227" t="n">
        <v>0.233</v>
      </c>
      <c r="Q73" s="227" t="n">
        <v>-0.34</v>
      </c>
      <c r="R73" s="227" t="n">
        <v>0</v>
      </c>
      <c r="S73" s="227" t="n">
        <v>-0.42</v>
      </c>
      <c r="T73" s="227" t="n">
        <v>0.022</v>
      </c>
      <c r="U73" s="227" t="n">
        <v>-0.42</v>
      </c>
      <c r="V73" s="227" t="n">
        <v>0.01</v>
      </c>
      <c r="W73" s="227" t="n">
        <v>-0.45</v>
      </c>
      <c r="X73" s="227" t="n">
        <v>0.0016428321705829</v>
      </c>
      <c r="Y73" s="227" t="n">
        <v>-0.25</v>
      </c>
      <c r="Z73" s="227" t="n">
        <v>0.02</v>
      </c>
      <c r="AA73" s="227" t="n">
        <v>0.237</v>
      </c>
      <c r="AB73" s="227" t="n">
        <v>0.165</v>
      </c>
      <c r="AC73" s="227" t="n">
        <v>0.03</v>
      </c>
      <c r="AD73" s="226" t="n">
        <v>0.26</v>
      </c>
      <c r="AE73" s="227" t="n">
        <v>0.034</v>
      </c>
      <c r="AF73" s="227" t="n">
        <v>0.233</v>
      </c>
      <c r="AG73" s="227" t="n">
        <v>0.44</v>
      </c>
      <c r="AH73" s="227" t="n">
        <v>0.034</v>
      </c>
      <c r="AI73" s="227" t="n">
        <v>0.24</v>
      </c>
      <c r="AJ73" s="227" t="n">
        <v>0</v>
      </c>
    </row>
    <row r="74" customFormat="false" ht="12.75" hidden="false" customHeight="false" outlineLevel="0" collapsed="false">
      <c r="D74" s="226" t="n">
        <v>39234</v>
      </c>
      <c r="E74" s="227" t="n">
        <v>0.0438618645098261</v>
      </c>
      <c r="F74" s="227" t="n">
        <v>4.0585</v>
      </c>
      <c r="G74" s="227" t="n">
        <v>0.2325</v>
      </c>
      <c r="H74" s="227" t="n">
        <v>-0.2</v>
      </c>
      <c r="I74" s="227" t="n">
        <v>0.0025</v>
      </c>
      <c r="J74" s="227" t="n">
        <v>0.233</v>
      </c>
      <c r="K74" s="227" t="n">
        <v>-0.07</v>
      </c>
      <c r="L74" s="227" t="n">
        <v>0.005</v>
      </c>
      <c r="M74" s="227" t="n">
        <v>0.233</v>
      </c>
      <c r="N74" s="227" t="n">
        <v>-0.34</v>
      </c>
      <c r="O74" s="227" t="n">
        <v>0.02</v>
      </c>
      <c r="P74" s="227" t="n">
        <v>0.233</v>
      </c>
      <c r="Q74" s="227" t="n">
        <v>-0.34</v>
      </c>
      <c r="R74" s="227" t="n">
        <v>0</v>
      </c>
      <c r="S74" s="227" t="n">
        <v>-0.42</v>
      </c>
      <c r="T74" s="227" t="n">
        <v>0.022</v>
      </c>
      <c r="U74" s="227" t="n">
        <v>-0.42</v>
      </c>
      <c r="V74" s="227" t="n">
        <v>0.01</v>
      </c>
      <c r="W74" s="227" t="n">
        <v>-0.45</v>
      </c>
      <c r="X74" s="227" t="n">
        <v>0.0016426503756481</v>
      </c>
      <c r="Y74" s="227" t="n">
        <v>-0.25</v>
      </c>
      <c r="Z74" s="227" t="n">
        <v>0.02</v>
      </c>
      <c r="AA74" s="227" t="n">
        <v>0.237</v>
      </c>
      <c r="AB74" s="227" t="n">
        <v>0.165</v>
      </c>
      <c r="AC74" s="227" t="n">
        <v>0.03</v>
      </c>
      <c r="AD74" s="226" t="n">
        <v>0.26</v>
      </c>
      <c r="AE74" s="227" t="n">
        <v>0.034</v>
      </c>
      <c r="AF74" s="227" t="n">
        <v>0.233</v>
      </c>
      <c r="AG74" s="227" t="n">
        <v>0.44</v>
      </c>
      <c r="AH74" s="227" t="n">
        <v>0.034</v>
      </c>
      <c r="AI74" s="227" t="n">
        <v>0.24</v>
      </c>
      <c r="AJ74" s="227" t="n">
        <v>0</v>
      </c>
    </row>
    <row r="75" customFormat="false" ht="12.75" hidden="false" customHeight="false" outlineLevel="0" collapsed="false">
      <c r="D75" s="226" t="n">
        <v>39264</v>
      </c>
      <c r="E75" s="227" t="n">
        <v>0.0440215500216614</v>
      </c>
      <c r="F75" s="227" t="n">
        <v>4.1035</v>
      </c>
      <c r="G75" s="227" t="n">
        <v>0.2325</v>
      </c>
      <c r="H75" s="227" t="n">
        <v>-0.2</v>
      </c>
      <c r="I75" s="227" t="n">
        <v>0.0025</v>
      </c>
      <c r="J75" s="227" t="n">
        <v>0.233</v>
      </c>
      <c r="K75" s="227" t="n">
        <v>-0.07</v>
      </c>
      <c r="L75" s="227" t="n">
        <v>0.005</v>
      </c>
      <c r="M75" s="227" t="n">
        <v>0.233</v>
      </c>
      <c r="N75" s="227" t="n">
        <v>-0.34</v>
      </c>
      <c r="O75" s="227" t="n">
        <v>0.02</v>
      </c>
      <c r="P75" s="227" t="n">
        <v>0.233</v>
      </c>
      <c r="Q75" s="227" t="n">
        <v>-0.34</v>
      </c>
      <c r="R75" s="227" t="n">
        <v>0</v>
      </c>
      <c r="S75" s="227" t="n">
        <v>-0.42</v>
      </c>
      <c r="T75" s="227" t="n">
        <v>0.022</v>
      </c>
      <c r="U75" s="227" t="n">
        <v>-0.42</v>
      </c>
      <c r="V75" s="227" t="n">
        <v>0.01</v>
      </c>
      <c r="W75" s="227" t="n">
        <v>-0.45</v>
      </c>
      <c r="X75" s="227" t="n">
        <v>0.0016424741505264</v>
      </c>
      <c r="Y75" s="227" t="n">
        <v>-0.25</v>
      </c>
      <c r="Z75" s="227" t="n">
        <v>0.02</v>
      </c>
      <c r="AA75" s="227" t="n">
        <v>0.237</v>
      </c>
      <c r="AB75" s="227" t="n">
        <v>0.165</v>
      </c>
      <c r="AC75" s="227" t="n">
        <v>0.03</v>
      </c>
      <c r="AD75" s="226" t="n">
        <v>0.26</v>
      </c>
      <c r="AE75" s="227" t="n">
        <v>0.034</v>
      </c>
      <c r="AF75" s="227" t="n">
        <v>0.233</v>
      </c>
      <c r="AG75" s="227" t="n">
        <v>0.44</v>
      </c>
      <c r="AH75" s="227" t="n">
        <v>0.034</v>
      </c>
      <c r="AI75" s="227" t="n">
        <v>0.24</v>
      </c>
      <c r="AJ75" s="227" t="n">
        <v>0</v>
      </c>
    </row>
    <row r="76" customFormat="false" ht="12.75" hidden="false" customHeight="false" outlineLevel="0" collapsed="false">
      <c r="D76" s="226" t="n">
        <v>39295</v>
      </c>
      <c r="E76" s="227" t="n">
        <v>0.0441865583928624</v>
      </c>
      <c r="F76" s="227" t="n">
        <v>4.1415</v>
      </c>
      <c r="G76" s="227" t="n">
        <v>0.2325</v>
      </c>
      <c r="H76" s="227" t="n">
        <v>-0.2</v>
      </c>
      <c r="I76" s="227" t="n">
        <v>0.0025</v>
      </c>
      <c r="J76" s="227" t="n">
        <v>0.233</v>
      </c>
      <c r="K76" s="227" t="n">
        <v>-0.07</v>
      </c>
      <c r="L76" s="227" t="n">
        <v>0.005</v>
      </c>
      <c r="M76" s="227" t="n">
        <v>0.233</v>
      </c>
      <c r="N76" s="227" t="n">
        <v>-0.34</v>
      </c>
      <c r="O76" s="227" t="n">
        <v>0.02</v>
      </c>
      <c r="P76" s="227" t="n">
        <v>0.233</v>
      </c>
      <c r="Q76" s="227" t="n">
        <v>-0.34</v>
      </c>
      <c r="R76" s="227" t="n">
        <v>0</v>
      </c>
      <c r="S76" s="227" t="n">
        <v>-0.42</v>
      </c>
      <c r="T76" s="227" t="n">
        <v>0.022</v>
      </c>
      <c r="U76" s="227" t="n">
        <v>-0.42</v>
      </c>
      <c r="V76" s="227" t="n">
        <v>0.01</v>
      </c>
      <c r="W76" s="227" t="n">
        <v>-0.45</v>
      </c>
      <c r="X76" s="227" t="n">
        <v>0.0016422917470586</v>
      </c>
      <c r="Y76" s="227" t="n">
        <v>-0.25</v>
      </c>
      <c r="Z76" s="227" t="n">
        <v>0.02</v>
      </c>
      <c r="AA76" s="227" t="n">
        <v>0.237</v>
      </c>
      <c r="AB76" s="227" t="n">
        <v>0.165</v>
      </c>
      <c r="AC76" s="227" t="n">
        <v>0.03</v>
      </c>
      <c r="AD76" s="226" t="n">
        <v>0.26</v>
      </c>
      <c r="AE76" s="227" t="n">
        <v>0.034</v>
      </c>
      <c r="AF76" s="227" t="n">
        <v>0.233</v>
      </c>
      <c r="AG76" s="227" t="n">
        <v>0.44</v>
      </c>
      <c r="AH76" s="227" t="n">
        <v>0.034</v>
      </c>
      <c r="AI76" s="227" t="n">
        <v>0.24</v>
      </c>
      <c r="AJ76" s="227" t="n">
        <v>0</v>
      </c>
    </row>
    <row r="77" customFormat="false" ht="12.75" hidden="false" customHeight="false" outlineLevel="0" collapsed="false">
      <c r="D77" s="226" t="n">
        <v>39326</v>
      </c>
      <c r="E77" s="227" t="n">
        <v>0.0443515667731793</v>
      </c>
      <c r="F77" s="227" t="n">
        <v>4.1355</v>
      </c>
      <c r="G77" s="227" t="n">
        <v>0.2325</v>
      </c>
      <c r="H77" s="227" t="n">
        <v>-0.2</v>
      </c>
      <c r="I77" s="227" t="n">
        <v>0.0025</v>
      </c>
      <c r="J77" s="227" t="n">
        <v>0.233</v>
      </c>
      <c r="K77" s="227" t="n">
        <v>-0.07</v>
      </c>
      <c r="L77" s="227" t="n">
        <v>0.005</v>
      </c>
      <c r="M77" s="227" t="n">
        <v>0.233</v>
      </c>
      <c r="N77" s="227" t="n">
        <v>-0.34</v>
      </c>
      <c r="O77" s="227" t="n">
        <v>0.02</v>
      </c>
      <c r="P77" s="227" t="n">
        <v>0.233</v>
      </c>
      <c r="Q77" s="227" t="n">
        <v>-0.34</v>
      </c>
      <c r="R77" s="227" t="n">
        <v>0</v>
      </c>
      <c r="S77" s="227" t="n">
        <v>-0.42</v>
      </c>
      <c r="T77" s="227" t="n">
        <v>0.022</v>
      </c>
      <c r="U77" s="227" t="n">
        <v>-0.42</v>
      </c>
      <c r="V77" s="227" t="n">
        <v>0.0125</v>
      </c>
      <c r="W77" s="227" t="n">
        <v>-0.45</v>
      </c>
      <c r="X77" s="227" t="n">
        <v>0.0016421090346144</v>
      </c>
      <c r="Y77" s="227" t="n">
        <v>-0.25</v>
      </c>
      <c r="Z77" s="227" t="n">
        <v>0.02</v>
      </c>
      <c r="AA77" s="227" t="n">
        <v>0.237</v>
      </c>
      <c r="AB77" s="227" t="n">
        <v>0.165</v>
      </c>
      <c r="AC77" s="227" t="n">
        <v>0.03</v>
      </c>
      <c r="AD77" s="226" t="n">
        <v>0.26</v>
      </c>
      <c r="AE77" s="227" t="n">
        <v>0.034</v>
      </c>
      <c r="AF77" s="227" t="n">
        <v>0.233</v>
      </c>
      <c r="AG77" s="227" t="n">
        <v>0.44</v>
      </c>
      <c r="AH77" s="227" t="n">
        <v>0.034</v>
      </c>
      <c r="AI77" s="227" t="n">
        <v>0.24</v>
      </c>
      <c r="AJ77" s="227" t="n">
        <v>0</v>
      </c>
    </row>
    <row r="78" customFormat="false" ht="12.75" hidden="false" customHeight="false" outlineLevel="0" collapsed="false">
      <c r="D78" s="226" t="n">
        <v>39356</v>
      </c>
      <c r="E78" s="227" t="n">
        <v>0.044511252311199</v>
      </c>
      <c r="F78" s="227" t="n">
        <v>4.1355</v>
      </c>
      <c r="G78" s="227" t="n">
        <v>0.2325</v>
      </c>
      <c r="H78" s="227" t="n">
        <v>-0.2</v>
      </c>
      <c r="I78" s="227" t="n">
        <v>0.0025</v>
      </c>
      <c r="J78" s="227" t="n">
        <v>0.233</v>
      </c>
      <c r="K78" s="227" t="n">
        <v>-0.07</v>
      </c>
      <c r="L78" s="227" t="n">
        <v>0.005</v>
      </c>
      <c r="M78" s="227" t="n">
        <v>0.233</v>
      </c>
      <c r="N78" s="227" t="n">
        <v>-0.34</v>
      </c>
      <c r="O78" s="227" t="n">
        <v>0.02</v>
      </c>
      <c r="P78" s="227" t="n">
        <v>0.233</v>
      </c>
      <c r="Q78" s="227" t="n">
        <v>-0.34</v>
      </c>
      <c r="R78" s="227" t="n">
        <v>0</v>
      </c>
      <c r="S78" s="227" t="n">
        <v>-0.42</v>
      </c>
      <c r="T78" s="227" t="n">
        <v>0.022</v>
      </c>
      <c r="U78" s="227" t="n">
        <v>-0.42</v>
      </c>
      <c r="V78" s="227" t="n">
        <v>0.03</v>
      </c>
      <c r="W78" s="227" t="n">
        <v>-0.45</v>
      </c>
      <c r="X78" s="227" t="n">
        <v>0.0016419319221101</v>
      </c>
      <c r="Y78" s="227" t="n">
        <v>-0.25</v>
      </c>
      <c r="Z78" s="227" t="n">
        <v>0.02</v>
      </c>
      <c r="AA78" s="227" t="n">
        <v>0.237</v>
      </c>
      <c r="AB78" s="227" t="n">
        <v>0.165</v>
      </c>
      <c r="AC78" s="227" t="n">
        <v>0.03</v>
      </c>
      <c r="AD78" s="226" t="n">
        <v>0.26</v>
      </c>
      <c r="AE78" s="227" t="n">
        <v>0.034</v>
      </c>
      <c r="AF78" s="227" t="n">
        <v>0.233</v>
      </c>
      <c r="AG78" s="227" t="n">
        <v>0.44</v>
      </c>
      <c r="AH78" s="227" t="n">
        <v>0.034</v>
      </c>
      <c r="AI78" s="227" t="n">
        <v>0.24</v>
      </c>
      <c r="AJ78" s="227" t="n">
        <v>0</v>
      </c>
    </row>
    <row r="79" customFormat="false" ht="12.75" hidden="false" customHeight="false" outlineLevel="0" collapsed="false">
      <c r="D79" s="226" t="n">
        <v>39387</v>
      </c>
      <c r="E79" s="227" t="n">
        <v>0.0446762607094535</v>
      </c>
      <c r="F79" s="227" t="n">
        <v>4.3055</v>
      </c>
      <c r="G79" s="227" t="n">
        <v>0.2325</v>
      </c>
      <c r="H79" s="227" t="n">
        <v>-0.13</v>
      </c>
      <c r="I79" s="227" t="n">
        <v>0.005</v>
      </c>
      <c r="J79" s="227" t="n">
        <v>0.233</v>
      </c>
      <c r="K79" s="227" t="n">
        <v>-0.07</v>
      </c>
      <c r="L79" s="227" t="n">
        <v>0.005</v>
      </c>
      <c r="M79" s="227" t="n">
        <v>0.233</v>
      </c>
      <c r="N79" s="227" t="n">
        <v>-0.24</v>
      </c>
      <c r="O79" s="227" t="n">
        <v>0</v>
      </c>
      <c r="P79" s="227" t="n">
        <v>0.233</v>
      </c>
      <c r="Q79" s="227" t="n">
        <v>0</v>
      </c>
      <c r="R79" s="227" t="n">
        <v>0</v>
      </c>
      <c r="S79" s="227" t="n">
        <v>0</v>
      </c>
      <c r="T79" s="227" t="n">
        <v>0</v>
      </c>
      <c r="U79" s="227" t="n">
        <v>-0.32</v>
      </c>
      <c r="V79" s="227" t="n">
        <v>0</v>
      </c>
      <c r="W79" s="227" t="n">
        <v>-0.41</v>
      </c>
      <c r="X79" s="227" t="n">
        <v>0.0052535955271297</v>
      </c>
      <c r="Y79" s="227" t="n">
        <v>0.248</v>
      </c>
      <c r="Z79" s="227" t="n">
        <v>0.06</v>
      </c>
      <c r="AA79" s="227" t="n">
        <v>0.237</v>
      </c>
      <c r="AB79" s="227" t="n">
        <v>0.19</v>
      </c>
      <c r="AC79" s="227" t="n">
        <v>0.03</v>
      </c>
      <c r="AD79" s="226" t="n">
        <v>0.25</v>
      </c>
      <c r="AE79" s="227" t="n">
        <v>0.036</v>
      </c>
      <c r="AF79" s="227" t="n">
        <v>0.233</v>
      </c>
      <c r="AG79" s="227" t="n">
        <v>0.5</v>
      </c>
      <c r="AH79" s="227" t="n">
        <v>0.036</v>
      </c>
      <c r="AI79" s="227" t="n">
        <v>0.3</v>
      </c>
      <c r="AJ79" s="227" t="n">
        <v>0</v>
      </c>
    </row>
    <row r="80" customFormat="false" ht="12.75" hidden="false" customHeight="false" outlineLevel="0" collapsed="false">
      <c r="D80" s="226" t="n">
        <v>39417</v>
      </c>
      <c r="E80" s="227" t="n">
        <v>0.0448359462648296</v>
      </c>
      <c r="F80" s="227" t="n">
        <v>4.4365</v>
      </c>
      <c r="G80" s="227" t="n">
        <v>0.2325</v>
      </c>
      <c r="H80" s="227" t="n">
        <v>-0.13</v>
      </c>
      <c r="I80" s="227" t="n">
        <v>0.005</v>
      </c>
      <c r="J80" s="227" t="n">
        <v>0.233</v>
      </c>
      <c r="K80" s="227" t="n">
        <v>-0.07</v>
      </c>
      <c r="L80" s="227" t="n">
        <v>0.005</v>
      </c>
      <c r="M80" s="227" t="n">
        <v>0.233</v>
      </c>
      <c r="N80" s="227" t="n">
        <v>-0.24</v>
      </c>
      <c r="O80" s="227" t="n">
        <v>0</v>
      </c>
      <c r="P80" s="227" t="n">
        <v>0.233</v>
      </c>
      <c r="Q80" s="227" t="n">
        <v>0</v>
      </c>
      <c r="R80" s="227" t="n">
        <v>0</v>
      </c>
      <c r="S80" s="227" t="n">
        <v>0</v>
      </c>
      <c r="T80" s="227" t="n">
        <v>0</v>
      </c>
      <c r="U80" s="227" t="n">
        <v>-0.32</v>
      </c>
      <c r="V80" s="227" t="n">
        <v>0</v>
      </c>
      <c r="W80" s="227" t="n">
        <v>-0.41</v>
      </c>
      <c r="X80" s="227" t="n">
        <v>0.0052530268871435</v>
      </c>
      <c r="Y80" s="227" t="n">
        <v>0.308</v>
      </c>
      <c r="Z80" s="227" t="n">
        <v>0.06</v>
      </c>
      <c r="AA80" s="227" t="n">
        <v>0.237</v>
      </c>
      <c r="AB80" s="227" t="n">
        <v>0.19</v>
      </c>
      <c r="AC80" s="227" t="n">
        <v>0.03</v>
      </c>
      <c r="AD80" s="226" t="n">
        <v>0.25</v>
      </c>
      <c r="AE80" s="227" t="n">
        <v>0.036</v>
      </c>
      <c r="AF80" s="227" t="n">
        <v>0.233</v>
      </c>
      <c r="AG80" s="227" t="n">
        <v>0.57</v>
      </c>
      <c r="AH80" s="227" t="n">
        <v>0.036</v>
      </c>
      <c r="AI80" s="227" t="n">
        <v>0.37</v>
      </c>
      <c r="AJ80" s="227" t="n">
        <v>0</v>
      </c>
    </row>
    <row r="81" customFormat="false" ht="12.75" hidden="false" customHeight="false" outlineLevel="0" collapsed="false">
      <c r="D81" s="226" t="n">
        <v>39448</v>
      </c>
      <c r="E81" s="227" t="n">
        <v>0.0450009546810191</v>
      </c>
      <c r="F81" s="227" t="n">
        <v>4.499</v>
      </c>
      <c r="G81" s="227" t="n">
        <v>0.2325</v>
      </c>
      <c r="H81" s="227" t="n">
        <v>-0.13</v>
      </c>
      <c r="I81" s="227" t="n">
        <v>0.005</v>
      </c>
      <c r="J81" s="227" t="n">
        <v>0.233</v>
      </c>
      <c r="K81" s="227" t="n">
        <v>-0.07</v>
      </c>
      <c r="L81" s="227" t="n">
        <v>0.005</v>
      </c>
      <c r="M81" s="227" t="n">
        <v>0.233</v>
      </c>
      <c r="N81" s="227" t="n">
        <v>-0.24</v>
      </c>
      <c r="O81" s="227" t="n">
        <v>0</v>
      </c>
      <c r="P81" s="227" t="n">
        <v>0.233</v>
      </c>
      <c r="Q81" s="227" t="n">
        <v>0</v>
      </c>
      <c r="R81" s="227" t="n">
        <v>0</v>
      </c>
      <c r="S81" s="227" t="n">
        <v>0</v>
      </c>
      <c r="T81" s="227" t="n">
        <v>0</v>
      </c>
      <c r="U81" s="227" t="n">
        <v>-0.32</v>
      </c>
      <c r="V81" s="227" t="n">
        <v>0</v>
      </c>
      <c r="W81" s="227" t="n">
        <v>-0.41</v>
      </c>
      <c r="X81" s="227" t="n">
        <v>0.0052524383220466</v>
      </c>
      <c r="Y81" s="227" t="n">
        <v>0.378</v>
      </c>
      <c r="Z81" s="227" t="n">
        <v>0.06</v>
      </c>
      <c r="AA81" s="227" t="n">
        <v>0.237</v>
      </c>
      <c r="AB81" s="227" t="n">
        <v>0.19</v>
      </c>
      <c r="AC81" s="227" t="n">
        <v>0.03</v>
      </c>
      <c r="AD81" s="226" t="n">
        <v>0.25</v>
      </c>
      <c r="AE81" s="227" t="n">
        <v>0.036</v>
      </c>
      <c r="AF81" s="227" t="n">
        <v>0.233</v>
      </c>
      <c r="AG81" s="227" t="n">
        <v>0.57</v>
      </c>
      <c r="AH81" s="227" t="n">
        <v>0.036</v>
      </c>
      <c r="AI81" s="227" t="n">
        <v>0.37</v>
      </c>
      <c r="AJ81" s="227" t="n">
        <v>0</v>
      </c>
    </row>
    <row r="82" customFormat="false" ht="12.75" hidden="false" customHeight="false" outlineLevel="0" collapsed="false">
      <c r="D82" s="226" t="n">
        <v>39479</v>
      </c>
      <c r="E82" s="227" t="n">
        <v>0.0451659631063213</v>
      </c>
      <c r="F82" s="227" t="n">
        <v>4.411</v>
      </c>
      <c r="G82" s="227" t="n">
        <v>0.2325</v>
      </c>
      <c r="H82" s="227" t="n">
        <v>-0.13</v>
      </c>
      <c r="I82" s="227" t="n">
        <v>0.005</v>
      </c>
      <c r="J82" s="227" t="n">
        <v>0.233</v>
      </c>
      <c r="K82" s="227" t="n">
        <v>-0.07</v>
      </c>
      <c r="L82" s="227" t="n">
        <v>0.005</v>
      </c>
      <c r="M82" s="227" t="n">
        <v>0.233</v>
      </c>
      <c r="N82" s="227" t="n">
        <v>-0.24</v>
      </c>
      <c r="O82" s="227" t="n">
        <v>0</v>
      </c>
      <c r="P82" s="227" t="n">
        <v>0.233</v>
      </c>
      <c r="Q82" s="227" t="n">
        <v>0</v>
      </c>
      <c r="R82" s="227" t="n">
        <v>0</v>
      </c>
      <c r="S82" s="227" t="n">
        <v>0</v>
      </c>
      <c r="T82" s="227" t="n">
        <v>0</v>
      </c>
      <c r="U82" s="227" t="n">
        <v>-0.32</v>
      </c>
      <c r="V82" s="227" t="n">
        <v>0</v>
      </c>
      <c r="W82" s="227" t="n">
        <v>-0.41</v>
      </c>
      <c r="X82" s="227" t="n">
        <v>0.0052518487711913</v>
      </c>
      <c r="Y82" s="227" t="n">
        <v>0.248</v>
      </c>
      <c r="Z82" s="227" t="n">
        <v>0.06</v>
      </c>
      <c r="AA82" s="227" t="n">
        <v>0.237</v>
      </c>
      <c r="AB82" s="227" t="n">
        <v>0.19</v>
      </c>
      <c r="AC82" s="227" t="n">
        <v>0.03</v>
      </c>
      <c r="AD82" s="226" t="n">
        <v>0.25</v>
      </c>
      <c r="AE82" s="227" t="n">
        <v>0.036</v>
      </c>
      <c r="AF82" s="227" t="n">
        <v>0.233</v>
      </c>
      <c r="AG82" s="227" t="n">
        <v>0.57</v>
      </c>
      <c r="AH82" s="227" t="n">
        <v>0.036</v>
      </c>
      <c r="AI82" s="227" t="n">
        <v>0.37</v>
      </c>
      <c r="AJ82" s="227" t="n">
        <v>0</v>
      </c>
    </row>
    <row r="83" customFormat="false" ht="12.75" hidden="false" customHeight="false" outlineLevel="0" collapsed="false">
      <c r="D83" s="226" t="n">
        <v>39508</v>
      </c>
      <c r="E83" s="227" t="n">
        <v>0.0453203258350148</v>
      </c>
      <c r="F83" s="227" t="n">
        <v>4.272</v>
      </c>
      <c r="G83" s="227" t="n">
        <v>0.2225</v>
      </c>
      <c r="H83" s="227" t="n">
        <v>-0.13</v>
      </c>
      <c r="I83" s="227" t="n">
        <v>0.005</v>
      </c>
      <c r="J83" s="227" t="n">
        <v>0.223</v>
      </c>
      <c r="K83" s="227" t="n">
        <v>-0.07</v>
      </c>
      <c r="L83" s="227" t="n">
        <v>0.005</v>
      </c>
      <c r="M83" s="227" t="n">
        <v>0.223</v>
      </c>
      <c r="N83" s="227" t="n">
        <v>-0.24</v>
      </c>
      <c r="O83" s="227" t="n">
        <v>0</v>
      </c>
      <c r="P83" s="227" t="n">
        <v>0.223</v>
      </c>
      <c r="Q83" s="227" t="n">
        <v>0</v>
      </c>
      <c r="R83" s="227" t="n">
        <v>0</v>
      </c>
      <c r="S83" s="227" t="n">
        <v>0</v>
      </c>
      <c r="T83" s="227" t="n">
        <v>0</v>
      </c>
      <c r="U83" s="227" t="n">
        <v>-0.32</v>
      </c>
      <c r="V83" s="227" t="n">
        <v>0</v>
      </c>
      <c r="W83" s="227" t="n">
        <v>-0.41</v>
      </c>
      <c r="X83" s="227" t="n">
        <v>0.0052512963639946</v>
      </c>
      <c r="Y83" s="227" t="n">
        <v>0.068</v>
      </c>
      <c r="Z83" s="227" t="n">
        <v>0.06</v>
      </c>
      <c r="AA83" s="227" t="n">
        <v>0.227</v>
      </c>
      <c r="AB83" s="227" t="n">
        <v>0.19</v>
      </c>
      <c r="AC83" s="227" t="n">
        <v>0.03</v>
      </c>
      <c r="AD83" s="226" t="n">
        <v>0.25</v>
      </c>
      <c r="AE83" s="227" t="n">
        <v>0.036</v>
      </c>
      <c r="AF83" s="227" t="n">
        <v>0.223</v>
      </c>
      <c r="AG83" s="227" t="n">
        <v>0.57</v>
      </c>
      <c r="AH83" s="227" t="n">
        <v>0.036</v>
      </c>
      <c r="AI83" s="227" t="n">
        <v>0.37</v>
      </c>
      <c r="AJ83" s="227" t="n">
        <v>0</v>
      </c>
    </row>
    <row r="84" customFormat="false" ht="12.75" hidden="false" customHeight="false" outlineLevel="0" collapsed="false">
      <c r="D84" s="226" t="n">
        <v>39539</v>
      </c>
      <c r="E84" s="227" t="n">
        <v>0.0454853342779535</v>
      </c>
      <c r="F84" s="227" t="n">
        <v>4.118</v>
      </c>
      <c r="G84" s="227" t="n">
        <v>0.2225</v>
      </c>
      <c r="H84" s="227" t="n">
        <v>-0.2</v>
      </c>
      <c r="I84" s="227" t="n">
        <v>0.0025</v>
      </c>
      <c r="J84" s="227" t="n">
        <v>0.223</v>
      </c>
      <c r="K84" s="227" t="n">
        <v>-0.07</v>
      </c>
      <c r="L84" s="227" t="n">
        <v>0.005</v>
      </c>
      <c r="M84" s="227" t="n">
        <v>0.223</v>
      </c>
      <c r="N84" s="227" t="n">
        <v>-0.34</v>
      </c>
      <c r="O84" s="227" t="n">
        <v>0</v>
      </c>
      <c r="P84" s="227" t="n">
        <v>0.223</v>
      </c>
      <c r="Q84" s="227" t="n">
        <v>0</v>
      </c>
      <c r="R84" s="227" t="n">
        <v>0</v>
      </c>
      <c r="S84" s="227" t="n">
        <v>0</v>
      </c>
      <c r="T84" s="227" t="n">
        <v>0</v>
      </c>
      <c r="U84" s="227" t="n">
        <v>-0.42</v>
      </c>
      <c r="V84" s="227" t="n">
        <v>0</v>
      </c>
      <c r="W84" s="227" t="n">
        <v>-0.465</v>
      </c>
      <c r="X84" s="227" t="n">
        <v>0.0016408452834158</v>
      </c>
      <c r="Y84" s="227" t="n">
        <v>-0.25</v>
      </c>
      <c r="Z84" s="227" t="n">
        <v>0.02</v>
      </c>
      <c r="AA84" s="227" t="n">
        <v>0.227</v>
      </c>
      <c r="AB84" s="227" t="n">
        <v>0.165</v>
      </c>
      <c r="AC84" s="227" t="n">
        <v>0.03</v>
      </c>
      <c r="AD84" s="226" t="n">
        <v>0.26</v>
      </c>
      <c r="AE84" s="227" t="n">
        <v>0.036</v>
      </c>
      <c r="AF84" s="227" t="n">
        <v>0.223</v>
      </c>
      <c r="AG84" s="227" t="n">
        <v>0.44</v>
      </c>
      <c r="AH84" s="227" t="n">
        <v>0.036</v>
      </c>
      <c r="AI84" s="227" t="n">
        <v>0.24</v>
      </c>
      <c r="AJ84" s="227" t="n">
        <v>0</v>
      </c>
    </row>
    <row r="85" customFormat="false" ht="12.75" hidden="false" customHeight="false" outlineLevel="0" collapsed="false">
      <c r="D85" s="226" t="n">
        <v>39569</v>
      </c>
      <c r="E85" s="227" t="n">
        <v>0.0456450198765688</v>
      </c>
      <c r="F85" s="227" t="n">
        <v>4.123</v>
      </c>
      <c r="G85" s="227" t="n">
        <v>0.2225</v>
      </c>
      <c r="H85" s="227" t="n">
        <v>-0.2</v>
      </c>
      <c r="I85" s="227" t="n">
        <v>0.0025</v>
      </c>
      <c r="J85" s="227" t="n">
        <v>0.223</v>
      </c>
      <c r="K85" s="227" t="n">
        <v>-0.07</v>
      </c>
      <c r="L85" s="227" t="n">
        <v>0.005</v>
      </c>
      <c r="M85" s="227" t="n">
        <v>0.223</v>
      </c>
      <c r="N85" s="227" t="n">
        <v>-0.34</v>
      </c>
      <c r="O85" s="227" t="n">
        <v>0</v>
      </c>
      <c r="P85" s="227" t="n">
        <v>0.223</v>
      </c>
      <c r="Q85" s="227" t="n">
        <v>0</v>
      </c>
      <c r="R85" s="227" t="n">
        <v>0</v>
      </c>
      <c r="S85" s="227" t="n">
        <v>0</v>
      </c>
      <c r="T85" s="227" t="n">
        <v>0</v>
      </c>
      <c r="U85" s="227" t="n">
        <v>-0.42</v>
      </c>
      <c r="V85" s="227" t="n">
        <v>0</v>
      </c>
      <c r="W85" s="227" t="n">
        <v>-0.465</v>
      </c>
      <c r="X85" s="227" t="n">
        <v>0.0016406661225722</v>
      </c>
      <c r="Y85" s="227" t="n">
        <v>-0.25</v>
      </c>
      <c r="Z85" s="227" t="n">
        <v>0.02</v>
      </c>
      <c r="AA85" s="227" t="n">
        <v>0.227</v>
      </c>
      <c r="AB85" s="227" t="n">
        <v>0.165</v>
      </c>
      <c r="AC85" s="227" t="n">
        <v>0.03</v>
      </c>
      <c r="AD85" s="226" t="n">
        <v>0.26</v>
      </c>
      <c r="AE85" s="227" t="n">
        <v>0.036</v>
      </c>
      <c r="AF85" s="227" t="n">
        <v>0.223</v>
      </c>
      <c r="AG85" s="227" t="n">
        <v>0.44</v>
      </c>
      <c r="AH85" s="227" t="n">
        <v>0.036</v>
      </c>
      <c r="AI85" s="227" t="n">
        <v>0.24</v>
      </c>
      <c r="AJ85" s="227" t="n">
        <v>0</v>
      </c>
    </row>
    <row r="86" customFormat="false" ht="12.75" hidden="false" customHeight="false" outlineLevel="0" collapsed="false">
      <c r="D86" s="226" t="n">
        <v>39600</v>
      </c>
      <c r="E86" s="227" t="n">
        <v>0.045810028337435</v>
      </c>
      <c r="F86" s="227" t="n">
        <v>4.161</v>
      </c>
      <c r="G86" s="227" t="n">
        <v>0.2225</v>
      </c>
      <c r="H86" s="227" t="n">
        <v>-0.2</v>
      </c>
      <c r="I86" s="227" t="n">
        <v>0.0025</v>
      </c>
      <c r="J86" s="227" t="n">
        <v>0.223</v>
      </c>
      <c r="K86" s="227" t="n">
        <v>-0.07</v>
      </c>
      <c r="L86" s="227" t="n">
        <v>0.005</v>
      </c>
      <c r="M86" s="227" t="n">
        <v>0.223</v>
      </c>
      <c r="N86" s="227" t="n">
        <v>-0.34</v>
      </c>
      <c r="O86" s="227" t="n">
        <v>0</v>
      </c>
      <c r="P86" s="227" t="n">
        <v>0.223</v>
      </c>
      <c r="Q86" s="227" t="n">
        <v>0</v>
      </c>
      <c r="R86" s="227" t="n">
        <v>0</v>
      </c>
      <c r="S86" s="227" t="n">
        <v>0</v>
      </c>
      <c r="T86" s="227" t="n">
        <v>0</v>
      </c>
      <c r="U86" s="227" t="n">
        <v>-0.42</v>
      </c>
      <c r="V86" s="227" t="n">
        <v>0</v>
      </c>
      <c r="W86" s="227" t="n">
        <v>-0.465</v>
      </c>
      <c r="X86" s="227" t="n">
        <v>0.0016404806873446</v>
      </c>
      <c r="Y86" s="227" t="n">
        <v>-0.25</v>
      </c>
      <c r="Z86" s="227" t="n">
        <v>0.02</v>
      </c>
      <c r="AA86" s="227" t="n">
        <v>0.227</v>
      </c>
      <c r="AB86" s="227" t="n">
        <v>0.165</v>
      </c>
      <c r="AC86" s="227" t="n">
        <v>0.03</v>
      </c>
      <c r="AD86" s="226" t="n">
        <v>0.26</v>
      </c>
      <c r="AE86" s="227" t="n">
        <v>0.036</v>
      </c>
      <c r="AF86" s="227" t="n">
        <v>0.223</v>
      </c>
      <c r="AG86" s="227" t="n">
        <v>0.44</v>
      </c>
      <c r="AH86" s="227" t="n">
        <v>0.036</v>
      </c>
      <c r="AI86" s="227" t="n">
        <v>0.24</v>
      </c>
      <c r="AJ86" s="227" t="n">
        <v>0</v>
      </c>
    </row>
    <row r="87" customFormat="false" ht="12.75" hidden="false" customHeight="false" outlineLevel="0" collapsed="false">
      <c r="D87" s="226" t="n">
        <v>39630</v>
      </c>
      <c r="E87" s="227" t="n">
        <v>0.0459697139533977</v>
      </c>
      <c r="F87" s="227" t="n">
        <v>4.206</v>
      </c>
      <c r="G87" s="227" t="n">
        <v>0.22</v>
      </c>
      <c r="H87" s="227" t="n">
        <v>-0.2</v>
      </c>
      <c r="I87" s="227" t="n">
        <v>0.0025</v>
      </c>
      <c r="J87" s="227" t="n">
        <v>0.22</v>
      </c>
      <c r="K87" s="227" t="n">
        <v>-0.07</v>
      </c>
      <c r="L87" s="227" t="n">
        <v>0.005</v>
      </c>
      <c r="M87" s="227" t="n">
        <v>0.22</v>
      </c>
      <c r="N87" s="227" t="n">
        <v>-0.34</v>
      </c>
      <c r="O87" s="227" t="n">
        <v>0</v>
      </c>
      <c r="P87" s="227" t="n">
        <v>0.22</v>
      </c>
      <c r="Q87" s="227" t="n">
        <v>0</v>
      </c>
      <c r="R87" s="227" t="n">
        <v>0</v>
      </c>
      <c r="S87" s="227" t="n">
        <v>0</v>
      </c>
      <c r="T87" s="227" t="n">
        <v>0</v>
      </c>
      <c r="U87" s="227" t="n">
        <v>-0.42</v>
      </c>
      <c r="V87" s="227" t="n">
        <v>0</v>
      </c>
      <c r="W87" s="227" t="n">
        <v>-0.465</v>
      </c>
      <c r="X87" s="227" t="n">
        <v>0.0016403009414719</v>
      </c>
      <c r="Y87" s="227" t="n">
        <v>-0.25</v>
      </c>
      <c r="Z87" s="227" t="n">
        <v>0.02</v>
      </c>
      <c r="AA87" s="227" t="n">
        <v>0.224</v>
      </c>
      <c r="AB87" s="227" t="n">
        <v>0.165</v>
      </c>
      <c r="AC87" s="227" t="n">
        <v>0.03</v>
      </c>
      <c r="AD87" s="226" t="n">
        <v>0.26</v>
      </c>
      <c r="AE87" s="227" t="n">
        <v>0.036</v>
      </c>
      <c r="AF87" s="227" t="n">
        <v>0.22</v>
      </c>
      <c r="AG87" s="227" t="n">
        <v>0.44</v>
      </c>
      <c r="AH87" s="227" t="n">
        <v>0.036</v>
      </c>
      <c r="AI87" s="227" t="n">
        <v>0.24</v>
      </c>
      <c r="AJ87" s="227" t="n">
        <v>0</v>
      </c>
    </row>
    <row r="88" customFormat="false" ht="12.75" hidden="false" customHeight="false" outlineLevel="0" collapsed="false">
      <c r="D88" s="226" t="n">
        <v>39661</v>
      </c>
      <c r="E88" s="227" t="n">
        <v>0.0461347224321886</v>
      </c>
      <c r="F88" s="227" t="n">
        <v>4.244</v>
      </c>
      <c r="G88" s="227" t="n">
        <v>0.22</v>
      </c>
      <c r="H88" s="227" t="n">
        <v>-0.2</v>
      </c>
      <c r="I88" s="227" t="n">
        <v>0.0025</v>
      </c>
      <c r="J88" s="227" t="n">
        <v>0.22</v>
      </c>
      <c r="K88" s="227" t="n">
        <v>-0.07</v>
      </c>
      <c r="L88" s="227" t="n">
        <v>0.005</v>
      </c>
      <c r="M88" s="227" t="n">
        <v>0.22</v>
      </c>
      <c r="N88" s="227" t="n">
        <v>-0.34</v>
      </c>
      <c r="O88" s="227" t="n">
        <v>0</v>
      </c>
      <c r="P88" s="227" t="n">
        <v>0.22</v>
      </c>
      <c r="Q88" s="227" t="n">
        <v>0</v>
      </c>
      <c r="R88" s="227" t="n">
        <v>0</v>
      </c>
      <c r="S88" s="227" t="n">
        <v>0</v>
      </c>
      <c r="T88" s="227" t="n">
        <v>0</v>
      </c>
      <c r="U88" s="227" t="n">
        <v>-0.42</v>
      </c>
      <c r="V88" s="227" t="n">
        <v>0</v>
      </c>
      <c r="W88" s="227" t="n">
        <v>-0.465</v>
      </c>
      <c r="X88" s="227" t="n">
        <v>0.0016401149020793</v>
      </c>
      <c r="Y88" s="227" t="n">
        <v>-0.25</v>
      </c>
      <c r="Z88" s="227" t="n">
        <v>0.02</v>
      </c>
      <c r="AA88" s="227" t="n">
        <v>0.224</v>
      </c>
      <c r="AB88" s="227" t="n">
        <v>0.165</v>
      </c>
      <c r="AC88" s="227" t="n">
        <v>0.03</v>
      </c>
      <c r="AD88" s="226" t="n">
        <v>0.26</v>
      </c>
      <c r="AE88" s="227" t="n">
        <v>0.036</v>
      </c>
      <c r="AF88" s="227" t="n">
        <v>0.22</v>
      </c>
      <c r="AG88" s="227" t="n">
        <v>0.44</v>
      </c>
      <c r="AH88" s="227" t="n">
        <v>0.036</v>
      </c>
      <c r="AI88" s="227" t="n">
        <v>0.24</v>
      </c>
      <c r="AJ88" s="227" t="n">
        <v>0</v>
      </c>
    </row>
    <row r="89" customFormat="false" ht="12.75" hidden="false" customHeight="false" outlineLevel="0" collapsed="false">
      <c r="D89" s="226" t="n">
        <v>39692</v>
      </c>
      <c r="E89" s="227" t="n">
        <v>0.046299730920087</v>
      </c>
      <c r="F89" s="227" t="n">
        <v>4.238</v>
      </c>
      <c r="G89" s="227" t="n">
        <v>0.22</v>
      </c>
      <c r="H89" s="227" t="n">
        <v>-0.2</v>
      </c>
      <c r="I89" s="227" t="n">
        <v>0.0025</v>
      </c>
      <c r="J89" s="227" t="n">
        <v>0.22</v>
      </c>
      <c r="K89" s="227" t="n">
        <v>-0.07</v>
      </c>
      <c r="L89" s="227" t="n">
        <v>0.005</v>
      </c>
      <c r="M89" s="227" t="n">
        <v>0.22</v>
      </c>
      <c r="N89" s="227" t="n">
        <v>-0.34</v>
      </c>
      <c r="O89" s="227" t="n">
        <v>0</v>
      </c>
      <c r="P89" s="227" t="n">
        <v>0.22</v>
      </c>
      <c r="Q89" s="227" t="n">
        <v>0</v>
      </c>
      <c r="R89" s="227" t="n">
        <v>0</v>
      </c>
      <c r="S89" s="227" t="n">
        <v>0</v>
      </c>
      <c r="T89" s="227" t="n">
        <v>0</v>
      </c>
      <c r="U89" s="227" t="n">
        <v>-0.42</v>
      </c>
      <c r="V89" s="227" t="n">
        <v>0</v>
      </c>
      <c r="W89" s="227" t="n">
        <v>-0.465</v>
      </c>
      <c r="X89" s="227" t="n">
        <v>0.0016399285559322</v>
      </c>
      <c r="Y89" s="227" t="n">
        <v>-0.25</v>
      </c>
      <c r="Z89" s="227" t="n">
        <v>0.02</v>
      </c>
      <c r="AA89" s="227" t="n">
        <v>0.224</v>
      </c>
      <c r="AB89" s="227" t="n">
        <v>0.165</v>
      </c>
      <c r="AC89" s="227" t="n">
        <v>0.03</v>
      </c>
      <c r="AD89" s="226" t="n">
        <v>0.26</v>
      </c>
      <c r="AE89" s="227" t="n">
        <v>0.036</v>
      </c>
      <c r="AF89" s="227" t="n">
        <v>0.22</v>
      </c>
      <c r="AG89" s="227" t="n">
        <v>0.44</v>
      </c>
      <c r="AH89" s="227" t="n">
        <v>0.036</v>
      </c>
      <c r="AI89" s="227" t="n">
        <v>0.24</v>
      </c>
      <c r="AJ89" s="227" t="n">
        <v>0</v>
      </c>
    </row>
    <row r="90" customFormat="false" ht="12.75" hidden="false" customHeight="false" outlineLevel="0" collapsed="false">
      <c r="D90" s="226" t="n">
        <v>39722</v>
      </c>
      <c r="E90" s="227" t="n">
        <v>0.0464594165622088</v>
      </c>
      <c r="F90" s="227" t="n">
        <v>4.238</v>
      </c>
      <c r="G90" s="227" t="n">
        <v>0.22</v>
      </c>
      <c r="H90" s="227" t="n">
        <v>-0.2</v>
      </c>
      <c r="I90" s="227" t="n">
        <v>0.0025</v>
      </c>
      <c r="J90" s="227" t="n">
        <v>0.22</v>
      </c>
      <c r="K90" s="227" t="n">
        <v>-0.07</v>
      </c>
      <c r="L90" s="227" t="n">
        <v>0.005</v>
      </c>
      <c r="M90" s="227" t="n">
        <v>0.22</v>
      </c>
      <c r="N90" s="227" t="n">
        <v>-0.34</v>
      </c>
      <c r="O90" s="227" t="n">
        <v>0</v>
      </c>
      <c r="P90" s="227" t="n">
        <v>0.22</v>
      </c>
      <c r="Q90" s="227" t="n">
        <v>0</v>
      </c>
      <c r="R90" s="227" t="n">
        <v>0</v>
      </c>
      <c r="S90" s="227" t="n">
        <v>0</v>
      </c>
      <c r="T90" s="227" t="n">
        <v>0</v>
      </c>
      <c r="U90" s="227" t="n">
        <v>-0.42</v>
      </c>
      <c r="V90" s="227" t="n">
        <v>0</v>
      </c>
      <c r="W90" s="227" t="n">
        <v>-0.465</v>
      </c>
      <c r="X90" s="227" t="n">
        <v>0.0016397479290579</v>
      </c>
      <c r="Y90" s="227" t="n">
        <v>-0.25</v>
      </c>
      <c r="Z90" s="227" t="n">
        <v>0.02</v>
      </c>
      <c r="AA90" s="227" t="n">
        <v>0.224</v>
      </c>
      <c r="AB90" s="227" t="n">
        <v>0.165</v>
      </c>
      <c r="AC90" s="227" t="n">
        <v>0.03</v>
      </c>
      <c r="AD90" s="226" t="n">
        <v>0.26</v>
      </c>
      <c r="AE90" s="227" t="n">
        <v>0.036</v>
      </c>
      <c r="AF90" s="227" t="n">
        <v>0.22</v>
      </c>
      <c r="AG90" s="227" t="n">
        <v>0.44</v>
      </c>
      <c r="AH90" s="227" t="n">
        <v>0.036</v>
      </c>
      <c r="AI90" s="227" t="n">
        <v>0.24</v>
      </c>
      <c r="AJ90" s="227" t="n">
        <v>0</v>
      </c>
    </row>
    <row r="91" customFormat="false" ht="12.75" hidden="false" customHeight="false" outlineLevel="0" collapsed="false">
      <c r="D91" s="226" t="n">
        <v>39753</v>
      </c>
      <c r="E91" s="227" t="n">
        <v>0.0466244250680274</v>
      </c>
      <c r="F91" s="227" t="n">
        <v>4.408</v>
      </c>
      <c r="G91" s="227" t="n">
        <v>0.22</v>
      </c>
      <c r="H91" s="227" t="n">
        <v>-0.13</v>
      </c>
      <c r="I91" s="227" t="n">
        <v>0.005</v>
      </c>
      <c r="J91" s="227" t="n">
        <v>0.22</v>
      </c>
      <c r="K91" s="227" t="n">
        <v>-0.07</v>
      </c>
      <c r="L91" s="227" t="n">
        <v>0.005</v>
      </c>
      <c r="M91" s="227" t="n">
        <v>0.22</v>
      </c>
      <c r="N91" s="227" t="n">
        <v>-0.24</v>
      </c>
      <c r="O91" s="227" t="n">
        <v>0</v>
      </c>
      <c r="P91" s="227" t="n">
        <v>0.22</v>
      </c>
      <c r="Q91" s="227" t="n">
        <v>0</v>
      </c>
      <c r="R91" s="227" t="n">
        <v>0</v>
      </c>
      <c r="S91" s="227" t="n">
        <v>0</v>
      </c>
      <c r="T91" s="227" t="n">
        <v>0</v>
      </c>
      <c r="U91" s="227" t="n">
        <v>-0.32</v>
      </c>
      <c r="V91" s="227" t="n">
        <v>0</v>
      </c>
      <c r="W91" s="227" t="n">
        <v>-0.44</v>
      </c>
      <c r="X91" s="227" t="n">
        <v>0.0052465951355156</v>
      </c>
      <c r="Y91" s="227" t="n">
        <v>0.248</v>
      </c>
      <c r="Z91" s="227" t="n">
        <v>0.06</v>
      </c>
      <c r="AA91" s="227" t="n">
        <v>0.224</v>
      </c>
      <c r="AB91" s="227" t="n">
        <v>0</v>
      </c>
      <c r="AC91" s="227" t="n">
        <v>0.03</v>
      </c>
      <c r="AD91" s="226" t="n">
        <v>0.25</v>
      </c>
      <c r="AE91" s="227" t="n">
        <v>0.038</v>
      </c>
      <c r="AF91" s="227" t="n">
        <v>0.22</v>
      </c>
      <c r="AG91" s="227" t="n">
        <v>0.5</v>
      </c>
      <c r="AH91" s="227" t="n">
        <v>0.038</v>
      </c>
      <c r="AI91" s="227" t="n">
        <v>0.3</v>
      </c>
      <c r="AJ91" s="227" t="n">
        <v>0</v>
      </c>
    </row>
    <row r="92" customFormat="false" ht="12.75" hidden="false" customHeight="false" outlineLevel="0" collapsed="false">
      <c r="D92" s="226" t="n">
        <v>39783</v>
      </c>
      <c r="E92" s="227" t="n">
        <v>0.0467261270438826</v>
      </c>
      <c r="F92" s="227" t="n">
        <v>4.539</v>
      </c>
      <c r="G92" s="227" t="n">
        <v>0.2225</v>
      </c>
      <c r="H92" s="227" t="n">
        <v>-0.13</v>
      </c>
      <c r="I92" s="227" t="n">
        <v>0.005</v>
      </c>
      <c r="J92" s="227" t="n">
        <v>0.223</v>
      </c>
      <c r="K92" s="227" t="n">
        <v>-0.07</v>
      </c>
      <c r="L92" s="227" t="n">
        <v>0.005</v>
      </c>
      <c r="M92" s="227" t="n">
        <v>0.223</v>
      </c>
      <c r="N92" s="227" t="n">
        <v>-0.24</v>
      </c>
      <c r="O92" s="227" t="n">
        <v>0</v>
      </c>
      <c r="P92" s="227" t="n">
        <v>0.223</v>
      </c>
      <c r="Q92" s="227" t="n">
        <v>0</v>
      </c>
      <c r="R92" s="227" t="n">
        <v>0</v>
      </c>
      <c r="S92" s="227" t="n">
        <v>0</v>
      </c>
      <c r="T92" s="227" t="n">
        <v>0</v>
      </c>
      <c r="U92" s="227" t="n">
        <v>-0.32</v>
      </c>
      <c r="V92" s="227" t="n">
        <v>0</v>
      </c>
      <c r="W92" s="227" t="n">
        <v>-0.44</v>
      </c>
      <c r="X92" s="227" t="n">
        <v>0.0052439104258263</v>
      </c>
      <c r="Y92" s="227" t="n">
        <v>0.308</v>
      </c>
      <c r="Z92" s="227" t="n">
        <v>0.06</v>
      </c>
      <c r="AA92" s="227" t="n">
        <v>0.227</v>
      </c>
      <c r="AB92" s="227" t="n">
        <v>0</v>
      </c>
      <c r="AC92" s="227" t="n">
        <v>0.03</v>
      </c>
      <c r="AD92" s="226" t="n">
        <v>0.25</v>
      </c>
      <c r="AE92" s="227" t="n">
        <v>0.038</v>
      </c>
      <c r="AF92" s="227" t="n">
        <v>0.223</v>
      </c>
      <c r="AG92" s="227" t="n">
        <v>0.57</v>
      </c>
      <c r="AH92" s="227" t="n">
        <v>0.038</v>
      </c>
      <c r="AI92" s="227" t="n">
        <v>0.37</v>
      </c>
      <c r="AJ92" s="227" t="n">
        <v>0</v>
      </c>
    </row>
    <row r="93" customFormat="false" ht="12.75" hidden="false" customHeight="false" outlineLevel="0" collapsed="false">
      <c r="D93" s="226" t="n">
        <v>39814</v>
      </c>
      <c r="E93" s="227" t="n">
        <v>0.0468220011700806</v>
      </c>
      <c r="F93" s="227" t="n">
        <v>4.604</v>
      </c>
      <c r="G93" s="227" t="n">
        <v>0.225</v>
      </c>
      <c r="H93" s="227" t="n">
        <v>-0.13</v>
      </c>
      <c r="I93" s="227" t="n">
        <v>0.005</v>
      </c>
      <c r="J93" s="227" t="n">
        <v>0.225</v>
      </c>
      <c r="K93" s="227" t="n">
        <v>-0.07</v>
      </c>
      <c r="L93" s="227" t="n">
        <v>0.005</v>
      </c>
      <c r="M93" s="227" t="n">
        <v>0.225</v>
      </c>
      <c r="N93" s="227" t="n">
        <v>-0.24</v>
      </c>
      <c r="O93" s="227" t="n">
        <v>0</v>
      </c>
      <c r="P93" s="227" t="n">
        <v>0.225</v>
      </c>
      <c r="Q93" s="227" t="n">
        <v>0</v>
      </c>
      <c r="R93" s="227" t="n">
        <v>0</v>
      </c>
      <c r="S93" s="227" t="n">
        <v>0</v>
      </c>
      <c r="T93" s="227" t="n">
        <v>0</v>
      </c>
      <c r="U93" s="227" t="n">
        <v>-0.32</v>
      </c>
      <c r="V93" s="227" t="n">
        <v>0</v>
      </c>
      <c r="W93" s="227" t="n">
        <v>-0.44</v>
      </c>
      <c r="X93" s="227" t="n">
        <v>0.0052407473250907</v>
      </c>
      <c r="Y93" s="227" t="n">
        <v>0.378</v>
      </c>
      <c r="Z93" s="227" t="n">
        <v>0.06</v>
      </c>
      <c r="AA93" s="227" t="n">
        <v>0.23</v>
      </c>
      <c r="AB93" s="227" t="n">
        <v>0</v>
      </c>
      <c r="AC93" s="227" t="n">
        <v>0.03</v>
      </c>
      <c r="AD93" s="226" t="n">
        <v>0.25</v>
      </c>
      <c r="AE93" s="227" t="n">
        <v>0.038</v>
      </c>
      <c r="AF93" s="227" t="n">
        <v>0.225</v>
      </c>
      <c r="AG93" s="227" t="n">
        <v>0.57</v>
      </c>
      <c r="AH93" s="227" t="n">
        <v>0.038</v>
      </c>
      <c r="AI93" s="227" t="n">
        <v>0.37</v>
      </c>
      <c r="AJ93" s="227" t="n">
        <v>0</v>
      </c>
    </row>
    <row r="94" customFormat="false" ht="12.75" hidden="false" customHeight="false" outlineLevel="0" collapsed="false">
      <c r="D94" s="226" t="n">
        <v>39845</v>
      </c>
      <c r="E94" s="227" t="n">
        <v>0.0469178752993526</v>
      </c>
      <c r="F94" s="227" t="n">
        <v>4.516</v>
      </c>
      <c r="G94" s="227" t="n">
        <v>0.22</v>
      </c>
      <c r="H94" s="227" t="n">
        <v>-0.13</v>
      </c>
      <c r="I94" s="227" t="n">
        <v>0.005</v>
      </c>
      <c r="J94" s="227" t="n">
        <v>0.22</v>
      </c>
      <c r="K94" s="227" t="n">
        <v>-0.07</v>
      </c>
      <c r="L94" s="227" t="n">
        <v>0.005</v>
      </c>
      <c r="M94" s="227" t="n">
        <v>0.22</v>
      </c>
      <c r="N94" s="227" t="n">
        <v>-0.24</v>
      </c>
      <c r="O94" s="227" t="n">
        <v>0</v>
      </c>
      <c r="P94" s="227" t="n">
        <v>0.22</v>
      </c>
      <c r="Q94" s="227" t="n">
        <v>0</v>
      </c>
      <c r="R94" s="227" t="n">
        <v>0</v>
      </c>
      <c r="S94" s="227" t="n">
        <v>0</v>
      </c>
      <c r="T94" s="227" t="n">
        <v>0</v>
      </c>
      <c r="U94" s="227" t="n">
        <v>-0.32</v>
      </c>
      <c r="V94" s="227" t="n">
        <v>0</v>
      </c>
      <c r="W94" s="227" t="n">
        <v>-0.44</v>
      </c>
      <c r="X94" s="227" t="n">
        <v>0.0052375253598688</v>
      </c>
      <c r="Y94" s="227" t="n">
        <v>0.248</v>
      </c>
      <c r="Z94" s="227" t="n">
        <v>0.06</v>
      </c>
      <c r="AA94" s="227" t="n">
        <v>0.224</v>
      </c>
      <c r="AB94" s="227" t="n">
        <v>0</v>
      </c>
      <c r="AC94" s="227" t="n">
        <v>0.03</v>
      </c>
      <c r="AD94" s="226" t="n">
        <v>0.25</v>
      </c>
      <c r="AE94" s="227" t="n">
        <v>0.038</v>
      </c>
      <c r="AF94" s="227" t="n">
        <v>0.22</v>
      </c>
      <c r="AG94" s="227" t="n">
        <v>0.57</v>
      </c>
      <c r="AH94" s="227" t="n">
        <v>0.038</v>
      </c>
      <c r="AI94" s="227" t="n">
        <v>0.37</v>
      </c>
      <c r="AJ94" s="227" t="n">
        <v>0</v>
      </c>
    </row>
    <row r="95" customFormat="false" ht="12.75" hidden="false" customHeight="false" outlineLevel="0" collapsed="false">
      <c r="D95" s="226" t="n">
        <v>39873</v>
      </c>
      <c r="E95" s="227" t="n">
        <v>0.0470044712897235</v>
      </c>
      <c r="F95" s="227" t="n">
        <v>4.377</v>
      </c>
      <c r="G95" s="227" t="n">
        <v>0.205</v>
      </c>
      <c r="H95" s="227" t="n">
        <v>-0.13</v>
      </c>
      <c r="I95" s="227" t="n">
        <v>0.005</v>
      </c>
      <c r="J95" s="227" t="n">
        <v>0.205</v>
      </c>
      <c r="K95" s="227" t="n">
        <v>-0.07</v>
      </c>
      <c r="L95" s="227" t="n">
        <v>0.005</v>
      </c>
      <c r="M95" s="227" t="n">
        <v>0.205</v>
      </c>
      <c r="N95" s="227" t="n">
        <v>-0.24</v>
      </c>
      <c r="O95" s="227" t="n">
        <v>0</v>
      </c>
      <c r="P95" s="227" t="n">
        <v>0.205</v>
      </c>
      <c r="Q95" s="227" t="n">
        <v>0</v>
      </c>
      <c r="R95" s="227" t="n">
        <v>0</v>
      </c>
      <c r="S95" s="227" t="n">
        <v>0</v>
      </c>
      <c r="T95" s="227" t="n">
        <v>0</v>
      </c>
      <c r="U95" s="227" t="n">
        <v>-0.32</v>
      </c>
      <c r="V95" s="227" t="n">
        <v>0</v>
      </c>
      <c r="W95" s="227" t="n">
        <v>-0.44</v>
      </c>
      <c r="X95" s="227" t="n">
        <v>0.0052345647043822</v>
      </c>
      <c r="Y95" s="227" t="n">
        <v>0.068</v>
      </c>
      <c r="Z95" s="227" t="n">
        <v>0.06</v>
      </c>
      <c r="AA95" s="227" t="n">
        <v>0.209</v>
      </c>
      <c r="AB95" s="227" t="n">
        <v>0</v>
      </c>
      <c r="AC95" s="227" t="n">
        <v>0.03</v>
      </c>
      <c r="AD95" s="226" t="n">
        <v>0.25</v>
      </c>
      <c r="AE95" s="227" t="n">
        <v>0.038</v>
      </c>
      <c r="AF95" s="227" t="n">
        <v>0.205</v>
      </c>
      <c r="AG95" s="227" t="n">
        <v>0.57</v>
      </c>
      <c r="AH95" s="227" t="n">
        <v>0.038</v>
      </c>
      <c r="AI95" s="227" t="n">
        <v>0.37</v>
      </c>
      <c r="AJ95" s="227" t="n">
        <v>0</v>
      </c>
    </row>
    <row r="96" customFormat="false" ht="12.75" hidden="false" customHeight="false" outlineLevel="0" collapsed="false">
      <c r="D96" s="226" t="n">
        <v>39904</v>
      </c>
      <c r="E96" s="227" t="n">
        <v>0.0471003454248451</v>
      </c>
      <c r="F96" s="227" t="n">
        <v>4.223</v>
      </c>
      <c r="G96" s="227" t="n">
        <v>0.195</v>
      </c>
      <c r="H96" s="227" t="n">
        <v>-0.2</v>
      </c>
      <c r="I96" s="227" t="n">
        <v>0.0025</v>
      </c>
      <c r="J96" s="227" t="n">
        <v>0.195</v>
      </c>
      <c r="K96" s="227" t="n">
        <v>-0.07</v>
      </c>
      <c r="L96" s="227" t="n">
        <v>0.005</v>
      </c>
      <c r="M96" s="227" t="n">
        <v>0.195</v>
      </c>
      <c r="N96" s="227" t="n">
        <v>-0.34</v>
      </c>
      <c r="O96" s="227" t="n">
        <v>0</v>
      </c>
      <c r="P96" s="227" t="n">
        <v>0.195</v>
      </c>
      <c r="Q96" s="227" t="n">
        <v>0</v>
      </c>
      <c r="R96" s="227" t="n">
        <v>0</v>
      </c>
      <c r="S96" s="227" t="n">
        <v>0</v>
      </c>
      <c r="T96" s="227" t="n">
        <v>0</v>
      </c>
      <c r="U96" s="227" t="n">
        <v>-0.42</v>
      </c>
      <c r="V96" s="227" t="n">
        <v>0</v>
      </c>
      <c r="W96" s="227" t="n">
        <v>-0.53</v>
      </c>
      <c r="X96" s="227" t="n">
        <v>0.0016347597022041</v>
      </c>
      <c r="Y96" s="227" t="n">
        <v>-0.25</v>
      </c>
      <c r="Z96" s="227" t="n">
        <v>0.02</v>
      </c>
      <c r="AA96" s="227" t="n">
        <v>0.199</v>
      </c>
      <c r="AB96" s="227" t="n">
        <v>0</v>
      </c>
      <c r="AC96" s="227" t="n">
        <v>0.03</v>
      </c>
      <c r="AD96" s="226" t="n">
        <v>0.26</v>
      </c>
      <c r="AE96" s="227" t="n">
        <v>0.038</v>
      </c>
      <c r="AF96" s="227" t="n">
        <v>0.195</v>
      </c>
      <c r="AG96" s="227" t="n">
        <v>0.44</v>
      </c>
      <c r="AH96" s="227" t="n">
        <v>0.038</v>
      </c>
      <c r="AI96" s="227" t="n">
        <v>0.24</v>
      </c>
      <c r="AJ96" s="227" t="n">
        <v>0</v>
      </c>
    </row>
    <row r="97" customFormat="false" ht="12.75" hidden="false" customHeight="false" outlineLevel="0" collapsed="false">
      <c r="D97" s="226" t="n">
        <v>39934</v>
      </c>
      <c r="E97" s="227" t="n">
        <v>0.0471931268488564</v>
      </c>
      <c r="F97" s="227" t="n">
        <v>4.228</v>
      </c>
      <c r="G97" s="227" t="n">
        <v>0.195</v>
      </c>
      <c r="H97" s="227" t="n">
        <v>-0.2</v>
      </c>
      <c r="I97" s="227" t="n">
        <v>0.0025</v>
      </c>
      <c r="J97" s="227" t="n">
        <v>0.195</v>
      </c>
      <c r="K97" s="227" t="n">
        <v>-0.07</v>
      </c>
      <c r="L97" s="227" t="n">
        <v>0.005</v>
      </c>
      <c r="M97" s="227" t="n">
        <v>0.195</v>
      </c>
      <c r="N97" s="227" t="n">
        <v>-0.34</v>
      </c>
      <c r="O97" s="227" t="n">
        <v>0</v>
      </c>
      <c r="P97" s="227" t="n">
        <v>0.195</v>
      </c>
      <c r="Q97" s="227" t="n">
        <v>0</v>
      </c>
      <c r="R97" s="227" t="n">
        <v>0</v>
      </c>
      <c r="S97" s="227" t="n">
        <v>0</v>
      </c>
      <c r="T97" s="227" t="n">
        <v>0</v>
      </c>
      <c r="U97" s="227" t="n">
        <v>-0.42</v>
      </c>
      <c r="V97" s="227" t="n">
        <v>0</v>
      </c>
      <c r="W97" s="227" t="n">
        <v>-0.53</v>
      </c>
      <c r="X97" s="227" t="n">
        <v>0.0016337341321543</v>
      </c>
      <c r="Y97" s="227" t="n">
        <v>-0.25</v>
      </c>
      <c r="Z97" s="227" t="n">
        <v>0.02</v>
      </c>
      <c r="AA97" s="227" t="n">
        <v>0.199</v>
      </c>
      <c r="AB97" s="227" t="n">
        <v>0</v>
      </c>
      <c r="AC97" s="227" t="n">
        <v>0.03</v>
      </c>
      <c r="AD97" s="226" t="n">
        <v>0.26</v>
      </c>
      <c r="AE97" s="227" t="n">
        <v>0.038</v>
      </c>
      <c r="AF97" s="227" t="n">
        <v>0.195</v>
      </c>
      <c r="AG97" s="227" t="n">
        <v>0.44</v>
      </c>
      <c r="AH97" s="227" t="n">
        <v>0.038</v>
      </c>
      <c r="AI97" s="227" t="n">
        <v>0.24</v>
      </c>
      <c r="AJ97" s="227" t="n">
        <v>0</v>
      </c>
    </row>
    <row r="98" customFormat="false" ht="12.75" hidden="false" customHeight="false" outlineLevel="0" collapsed="false">
      <c r="D98" s="226" t="n">
        <v>39965</v>
      </c>
      <c r="E98" s="227" t="n">
        <v>0.0472890009900255</v>
      </c>
      <c r="F98" s="227" t="n">
        <v>4.266</v>
      </c>
      <c r="G98" s="227" t="n">
        <v>0.195</v>
      </c>
      <c r="H98" s="227" t="n">
        <v>-0.2</v>
      </c>
      <c r="I98" s="227" t="n">
        <v>0.0025</v>
      </c>
      <c r="J98" s="227" t="n">
        <v>0.195</v>
      </c>
      <c r="K98" s="227" t="n">
        <v>-0.07</v>
      </c>
      <c r="L98" s="227" t="n">
        <v>0.005</v>
      </c>
      <c r="M98" s="227" t="n">
        <v>0.195</v>
      </c>
      <c r="N98" s="227" t="n">
        <v>-0.34</v>
      </c>
      <c r="O98" s="227" t="n">
        <v>0</v>
      </c>
      <c r="P98" s="227" t="n">
        <v>0.195</v>
      </c>
      <c r="Q98" s="227" t="n">
        <v>0</v>
      </c>
      <c r="R98" s="227" t="n">
        <v>0</v>
      </c>
      <c r="S98" s="227" t="n">
        <v>0</v>
      </c>
      <c r="T98" s="227" t="n">
        <v>0</v>
      </c>
      <c r="U98" s="227" t="n">
        <v>-0.42</v>
      </c>
      <c r="V98" s="227" t="n">
        <v>0</v>
      </c>
      <c r="W98" s="227" t="n">
        <v>-0.53</v>
      </c>
      <c r="X98" s="227" t="n">
        <v>0.0016326564276194</v>
      </c>
      <c r="Y98" s="227" t="n">
        <v>-0.25</v>
      </c>
      <c r="Z98" s="227" t="n">
        <v>0.02</v>
      </c>
      <c r="AA98" s="227" t="n">
        <v>0.199</v>
      </c>
      <c r="AB98" s="227" t="n">
        <v>0</v>
      </c>
      <c r="AC98" s="227" t="n">
        <v>0.03</v>
      </c>
      <c r="AD98" s="226" t="n">
        <v>0.26</v>
      </c>
      <c r="AE98" s="227" t="n">
        <v>0.038</v>
      </c>
      <c r="AF98" s="227" t="n">
        <v>0.195</v>
      </c>
      <c r="AG98" s="227" t="n">
        <v>0.44</v>
      </c>
      <c r="AH98" s="227" t="n">
        <v>0.038</v>
      </c>
      <c r="AI98" s="227" t="n">
        <v>0.24</v>
      </c>
      <c r="AJ98" s="227" t="n">
        <v>0</v>
      </c>
    </row>
    <row r="99" customFormat="false" ht="12.75" hidden="false" customHeight="false" outlineLevel="0" collapsed="false">
      <c r="D99" s="226" t="n">
        <v>39995</v>
      </c>
      <c r="E99" s="227" t="n">
        <v>0.047381782419889</v>
      </c>
      <c r="F99" s="227" t="n">
        <v>4.311</v>
      </c>
      <c r="G99" s="227" t="n">
        <v>0.195</v>
      </c>
      <c r="H99" s="227" t="n">
        <v>-0.2</v>
      </c>
      <c r="I99" s="227" t="n">
        <v>0.0025</v>
      </c>
      <c r="J99" s="227" t="n">
        <v>0.195</v>
      </c>
      <c r="K99" s="227" t="n">
        <v>-0.07</v>
      </c>
      <c r="L99" s="227" t="n">
        <v>0.005</v>
      </c>
      <c r="M99" s="227" t="n">
        <v>0.195</v>
      </c>
      <c r="N99" s="227" t="n">
        <v>-0.34</v>
      </c>
      <c r="O99" s="227" t="n">
        <v>0</v>
      </c>
      <c r="P99" s="227" t="n">
        <v>0.195</v>
      </c>
      <c r="Q99" s="227" t="n">
        <v>0</v>
      </c>
      <c r="R99" s="227" t="n">
        <v>0</v>
      </c>
      <c r="S99" s="227" t="n">
        <v>0</v>
      </c>
      <c r="T99" s="227" t="n">
        <v>0</v>
      </c>
      <c r="U99" s="227" t="n">
        <v>-0.42</v>
      </c>
      <c r="V99" s="227" t="n">
        <v>0</v>
      </c>
      <c r="W99" s="227" t="n">
        <v>-0.53</v>
      </c>
      <c r="X99" s="227" t="n">
        <v>0.0016315961557925</v>
      </c>
      <c r="Y99" s="227" t="n">
        <v>-0.25</v>
      </c>
      <c r="Z99" s="227" t="n">
        <v>0.02</v>
      </c>
      <c r="AA99" s="227" t="n">
        <v>0.199</v>
      </c>
      <c r="AB99" s="227" t="n">
        <v>0</v>
      </c>
      <c r="AC99" s="227" t="n">
        <v>0.03</v>
      </c>
      <c r="AD99" s="226" t="n">
        <v>0.26</v>
      </c>
      <c r="AE99" s="227" t="n">
        <v>0.038</v>
      </c>
      <c r="AF99" s="227" t="n">
        <v>0.195</v>
      </c>
      <c r="AG99" s="227" t="n">
        <v>0.44</v>
      </c>
      <c r="AH99" s="227" t="n">
        <v>0.038</v>
      </c>
      <c r="AI99" s="227" t="n">
        <v>0.24</v>
      </c>
      <c r="AJ99" s="227" t="n">
        <v>0</v>
      </c>
    </row>
    <row r="100" customFormat="false" ht="12.75" hidden="false" customHeight="false" outlineLevel="0" collapsed="false">
      <c r="D100" s="226" t="n">
        <v>40026</v>
      </c>
      <c r="E100" s="227" t="n">
        <v>0.0474776565671045</v>
      </c>
      <c r="F100" s="227" t="n">
        <v>4.349</v>
      </c>
      <c r="G100" s="227" t="n">
        <v>0.195</v>
      </c>
      <c r="H100" s="227" t="n">
        <v>-0.2</v>
      </c>
      <c r="I100" s="227" t="n">
        <v>0.0025</v>
      </c>
      <c r="J100" s="227" t="n">
        <v>0.195</v>
      </c>
      <c r="K100" s="227" t="n">
        <v>-0.07</v>
      </c>
      <c r="L100" s="227" t="n">
        <v>0.005</v>
      </c>
      <c r="M100" s="227" t="n">
        <v>0.195</v>
      </c>
      <c r="N100" s="227" t="n">
        <v>-0.34</v>
      </c>
      <c r="O100" s="227" t="n">
        <v>0</v>
      </c>
      <c r="P100" s="227" t="n">
        <v>0.195</v>
      </c>
      <c r="Q100" s="227" t="n">
        <v>0</v>
      </c>
      <c r="R100" s="227" t="n">
        <v>0</v>
      </c>
      <c r="S100" s="227" t="n">
        <v>0</v>
      </c>
      <c r="T100" s="227" t="n">
        <v>0</v>
      </c>
      <c r="U100" s="227" t="n">
        <v>-0.42</v>
      </c>
      <c r="V100" s="227" t="n">
        <v>0</v>
      </c>
      <c r="W100" s="227" t="n">
        <v>-0.53</v>
      </c>
      <c r="X100" s="227" t="n">
        <v>0.0016304826720178</v>
      </c>
      <c r="Y100" s="227" t="n">
        <v>-0.25</v>
      </c>
      <c r="Z100" s="227" t="n">
        <v>0.02</v>
      </c>
      <c r="AA100" s="227" t="n">
        <v>0.199</v>
      </c>
      <c r="AB100" s="227" t="n">
        <v>0</v>
      </c>
      <c r="AC100" s="227" t="n">
        <v>0.03</v>
      </c>
      <c r="AD100" s="226" t="n">
        <v>0.26</v>
      </c>
      <c r="AE100" s="227" t="n">
        <v>0.038</v>
      </c>
      <c r="AF100" s="227" t="n">
        <v>0.195</v>
      </c>
      <c r="AG100" s="227" t="n">
        <v>0.44</v>
      </c>
      <c r="AH100" s="227" t="n">
        <v>0.038</v>
      </c>
      <c r="AI100" s="227" t="n">
        <v>0.24</v>
      </c>
      <c r="AJ100" s="227" t="n">
        <v>0</v>
      </c>
    </row>
    <row r="101" customFormat="false" ht="12.75" hidden="false" customHeight="false" outlineLevel="0" collapsed="false">
      <c r="D101" s="226" t="n">
        <v>40057</v>
      </c>
      <c r="E101" s="227" t="n">
        <v>0.047573530717393</v>
      </c>
      <c r="F101" s="227" t="n">
        <v>4.343</v>
      </c>
      <c r="G101" s="227" t="n">
        <v>0.195</v>
      </c>
      <c r="H101" s="227" t="n">
        <v>-0.2</v>
      </c>
      <c r="I101" s="227" t="n">
        <v>0.0025</v>
      </c>
      <c r="J101" s="227" t="n">
        <v>0.195</v>
      </c>
      <c r="K101" s="227" t="n">
        <v>-0.07</v>
      </c>
      <c r="L101" s="227" t="n">
        <v>0.005</v>
      </c>
      <c r="M101" s="227" t="n">
        <v>0.195</v>
      </c>
      <c r="N101" s="227" t="n">
        <v>-0.34</v>
      </c>
      <c r="O101" s="227" t="n">
        <v>0</v>
      </c>
      <c r="P101" s="227" t="n">
        <v>0.195</v>
      </c>
      <c r="Q101" s="227" t="n">
        <v>0</v>
      </c>
      <c r="R101" s="227" t="n">
        <v>0</v>
      </c>
      <c r="S101" s="227" t="n">
        <v>0</v>
      </c>
      <c r="T101" s="227" t="n">
        <v>0</v>
      </c>
      <c r="U101" s="227" t="n">
        <v>-0.42</v>
      </c>
      <c r="V101" s="227" t="n">
        <v>0</v>
      </c>
      <c r="W101" s="227" t="n">
        <v>-0.53</v>
      </c>
      <c r="X101" s="227" t="n">
        <v>0.0016293510671208</v>
      </c>
      <c r="Y101" s="227" t="n">
        <v>-0.25</v>
      </c>
      <c r="Z101" s="227" t="n">
        <v>0.02</v>
      </c>
      <c r="AA101" s="227" t="n">
        <v>0.199</v>
      </c>
      <c r="AB101" s="227" t="n">
        <v>0</v>
      </c>
      <c r="AC101" s="227" t="n">
        <v>0.03</v>
      </c>
      <c r="AD101" s="226" t="n">
        <v>0.26</v>
      </c>
      <c r="AE101" s="227" t="n">
        <v>0.038</v>
      </c>
      <c r="AF101" s="227" t="n">
        <v>0.195</v>
      </c>
      <c r="AG101" s="227" t="n">
        <v>0.44</v>
      </c>
      <c r="AH101" s="227" t="n">
        <v>0.038</v>
      </c>
      <c r="AI101" s="227" t="n">
        <v>0.24</v>
      </c>
      <c r="AJ101" s="227" t="n">
        <v>0</v>
      </c>
    </row>
    <row r="102" customFormat="false" ht="12.75" hidden="false" customHeight="false" outlineLevel="0" collapsed="false">
      <c r="D102" s="226" t="n">
        <v>40087</v>
      </c>
      <c r="E102" s="227" t="n">
        <v>0.0476663121560819</v>
      </c>
      <c r="F102" s="227" t="n">
        <v>4.343</v>
      </c>
      <c r="G102" s="227" t="n">
        <v>0.195</v>
      </c>
      <c r="H102" s="227" t="n">
        <v>-0.2</v>
      </c>
      <c r="I102" s="227" t="n">
        <v>0.0025</v>
      </c>
      <c r="J102" s="227" t="n">
        <v>0.195</v>
      </c>
      <c r="K102" s="227" t="n">
        <v>-0.07</v>
      </c>
      <c r="L102" s="227" t="n">
        <v>0.005</v>
      </c>
      <c r="M102" s="227" t="n">
        <v>0.195</v>
      </c>
      <c r="N102" s="227" t="n">
        <v>-0.34</v>
      </c>
      <c r="O102" s="227" t="n">
        <v>0</v>
      </c>
      <c r="P102" s="227" t="n">
        <v>0.195</v>
      </c>
      <c r="Q102" s="227" t="n">
        <v>0</v>
      </c>
      <c r="R102" s="227" t="n">
        <v>0</v>
      </c>
      <c r="S102" s="227" t="n">
        <v>0</v>
      </c>
      <c r="T102" s="227" t="n">
        <v>0</v>
      </c>
      <c r="U102" s="227" t="n">
        <v>-0.42</v>
      </c>
      <c r="V102" s="227" t="n">
        <v>0</v>
      </c>
      <c r="W102" s="227" t="n">
        <v>-0.53</v>
      </c>
      <c r="X102" s="227" t="n">
        <v>0.0016282387518288</v>
      </c>
      <c r="Y102" s="227" t="n">
        <v>-0.25</v>
      </c>
      <c r="Z102" s="227" t="n">
        <v>0.02</v>
      </c>
      <c r="AA102" s="227" t="n">
        <v>0.199</v>
      </c>
      <c r="AB102" s="227" t="n">
        <v>0</v>
      </c>
      <c r="AC102" s="227" t="n">
        <v>0.03</v>
      </c>
      <c r="AD102" s="226" t="n">
        <v>0.26</v>
      </c>
      <c r="AE102" s="227" t="n">
        <v>0.038</v>
      </c>
      <c r="AF102" s="227" t="n">
        <v>0.195</v>
      </c>
      <c r="AG102" s="227" t="n">
        <v>0.44</v>
      </c>
      <c r="AH102" s="227" t="n">
        <v>0.038</v>
      </c>
      <c r="AI102" s="227" t="n">
        <v>0.24</v>
      </c>
      <c r="AJ102" s="227" t="n">
        <v>0</v>
      </c>
    </row>
    <row r="103" customFormat="false" ht="12.75" hidden="false" customHeight="false" outlineLevel="0" collapsed="false">
      <c r="D103" s="226" t="n">
        <v>40118</v>
      </c>
      <c r="E103" s="227" t="n">
        <v>0.0477621863124162</v>
      </c>
      <c r="F103" s="227" t="n">
        <v>4.513</v>
      </c>
      <c r="G103" s="227" t="n">
        <v>0.195</v>
      </c>
      <c r="H103" s="227" t="n">
        <v>-0.13</v>
      </c>
      <c r="I103" s="227" t="n">
        <v>0.005</v>
      </c>
      <c r="J103" s="227" t="n">
        <v>0.195</v>
      </c>
      <c r="K103" s="227" t="n">
        <v>-0.07</v>
      </c>
      <c r="L103" s="227" t="n">
        <v>0.005</v>
      </c>
      <c r="M103" s="227" t="n">
        <v>0.195</v>
      </c>
      <c r="N103" s="227" t="n">
        <v>-0.24</v>
      </c>
      <c r="O103" s="227" t="n">
        <v>0</v>
      </c>
      <c r="P103" s="227" t="n">
        <v>0.195</v>
      </c>
      <c r="Q103" s="227" t="n">
        <v>0</v>
      </c>
      <c r="R103" s="227" t="n">
        <v>0</v>
      </c>
      <c r="S103" s="227" t="n">
        <v>0</v>
      </c>
      <c r="T103" s="227" t="n">
        <v>0</v>
      </c>
      <c r="U103" s="227" t="n">
        <v>-0.32</v>
      </c>
      <c r="V103" s="227" t="n">
        <v>0</v>
      </c>
      <c r="W103" s="227" t="n">
        <v>-0.47</v>
      </c>
      <c r="X103" s="227" t="n">
        <v>0.0052066291636261</v>
      </c>
      <c r="Y103" s="227" t="n">
        <v>0.248</v>
      </c>
      <c r="Z103" s="227" t="n">
        <v>0.06</v>
      </c>
      <c r="AA103" s="227" t="n">
        <v>0.199</v>
      </c>
      <c r="AB103" s="227" t="n">
        <v>0</v>
      </c>
      <c r="AC103" s="227" t="n">
        <v>0.03</v>
      </c>
      <c r="AD103" s="226" t="n">
        <v>0.25</v>
      </c>
      <c r="AE103" s="227" t="n">
        <v>0.04</v>
      </c>
      <c r="AF103" s="227" t="n">
        <v>0.195</v>
      </c>
      <c r="AG103" s="227" t="n">
        <v>0.5</v>
      </c>
      <c r="AH103" s="227" t="n">
        <v>0.04</v>
      </c>
      <c r="AI103" s="227" t="n">
        <v>0.3</v>
      </c>
      <c r="AJ103" s="227" t="n">
        <v>0</v>
      </c>
    </row>
    <row r="104" customFormat="false" ht="12.75" hidden="false" customHeight="false" outlineLevel="0" collapsed="false">
      <c r="D104" s="226" t="n">
        <v>40148</v>
      </c>
      <c r="E104" s="227" t="n">
        <v>0.047854967756956</v>
      </c>
      <c r="F104" s="227" t="n">
        <v>4.644</v>
      </c>
      <c r="G104" s="227" t="n">
        <v>0.195</v>
      </c>
      <c r="H104" s="227" t="n">
        <v>-0.13</v>
      </c>
      <c r="I104" s="227" t="n">
        <v>0.005</v>
      </c>
      <c r="J104" s="227" t="n">
        <v>0.195</v>
      </c>
      <c r="K104" s="227" t="n">
        <v>-0.07</v>
      </c>
      <c r="L104" s="227" t="n">
        <v>0.005</v>
      </c>
      <c r="M104" s="227" t="n">
        <v>0.195</v>
      </c>
      <c r="N104" s="227" t="n">
        <v>-0.24</v>
      </c>
      <c r="O104" s="227" t="n">
        <v>0</v>
      </c>
      <c r="P104" s="227" t="n">
        <v>0.195</v>
      </c>
      <c r="Q104" s="227" t="n">
        <v>0</v>
      </c>
      <c r="R104" s="227" t="n">
        <v>0</v>
      </c>
      <c r="S104" s="227" t="n">
        <v>0</v>
      </c>
      <c r="T104" s="227" t="n">
        <v>0</v>
      </c>
      <c r="U104" s="227" t="n">
        <v>-0.32</v>
      </c>
      <c r="V104" s="227" t="n">
        <v>0</v>
      </c>
      <c r="W104" s="227" t="n">
        <v>-0.47</v>
      </c>
      <c r="X104" s="227" t="n">
        <v>0.005202959975568</v>
      </c>
      <c r="Y104" s="227" t="n">
        <v>0.308</v>
      </c>
      <c r="Z104" s="227" t="n">
        <v>0.06</v>
      </c>
      <c r="AA104" s="227" t="n">
        <v>0.199</v>
      </c>
      <c r="AB104" s="227" t="n">
        <v>0</v>
      </c>
      <c r="AC104" s="227" t="n">
        <v>0.03</v>
      </c>
      <c r="AD104" s="226" t="n">
        <v>0.25</v>
      </c>
      <c r="AE104" s="227" t="n">
        <v>0.04</v>
      </c>
      <c r="AF104" s="227" t="n">
        <v>0.195</v>
      </c>
      <c r="AG104" s="227" t="n">
        <v>0.57</v>
      </c>
      <c r="AH104" s="227" t="n">
        <v>0.04</v>
      </c>
      <c r="AI104" s="227" t="n">
        <v>0.37</v>
      </c>
      <c r="AJ104" s="227" t="n">
        <v>0</v>
      </c>
    </row>
    <row r="105" customFormat="false" ht="12.75" hidden="false" customHeight="false" outlineLevel="0" collapsed="false">
      <c r="D105" s="226" t="n">
        <v>40179</v>
      </c>
      <c r="E105" s="227" t="n">
        <v>0.0479508419193357</v>
      </c>
      <c r="F105" s="227" t="n">
        <v>4.7115</v>
      </c>
      <c r="G105" s="227" t="n">
        <v>0.195</v>
      </c>
      <c r="H105" s="227" t="n">
        <v>-0.13</v>
      </c>
      <c r="I105" s="227" t="n">
        <v>0.005</v>
      </c>
      <c r="J105" s="227" t="n">
        <v>0.195</v>
      </c>
      <c r="K105" s="227" t="n">
        <v>-0.07</v>
      </c>
      <c r="L105" s="227" t="n">
        <v>0.005</v>
      </c>
      <c r="M105" s="227" t="n">
        <v>0.195</v>
      </c>
      <c r="N105" s="227" t="n">
        <v>-0.24</v>
      </c>
      <c r="O105" s="227" t="n">
        <v>0</v>
      </c>
      <c r="P105" s="227" t="n">
        <v>0.195</v>
      </c>
      <c r="Q105" s="227" t="n">
        <v>0</v>
      </c>
      <c r="R105" s="227" t="n">
        <v>0</v>
      </c>
      <c r="S105" s="227" t="n">
        <v>0</v>
      </c>
      <c r="T105" s="227" t="n">
        <v>0</v>
      </c>
      <c r="U105" s="227" t="n">
        <v>-0.32</v>
      </c>
      <c r="V105" s="227" t="n">
        <v>0</v>
      </c>
      <c r="W105" s="227" t="n">
        <v>-0.47</v>
      </c>
      <c r="X105" s="227" t="n">
        <v>0.0051991119666338</v>
      </c>
      <c r="Y105" s="227" t="n">
        <v>0.378</v>
      </c>
      <c r="Z105" s="227" t="n">
        <v>0.06</v>
      </c>
      <c r="AA105" s="227" t="n">
        <v>0.199</v>
      </c>
      <c r="AB105" s="227" t="n">
        <v>0</v>
      </c>
      <c r="AC105" s="227" t="n">
        <v>0.03</v>
      </c>
      <c r="AD105" s="226" t="n">
        <v>0.25</v>
      </c>
      <c r="AE105" s="227" t="n">
        <v>0.04</v>
      </c>
      <c r="AF105" s="227" t="n">
        <v>0.195</v>
      </c>
      <c r="AG105" s="227" t="n">
        <v>0.57</v>
      </c>
      <c r="AH105" s="227" t="n">
        <v>0.04</v>
      </c>
      <c r="AI105" s="227" t="n">
        <v>0.37</v>
      </c>
      <c r="AJ105" s="227" t="n">
        <v>0</v>
      </c>
    </row>
    <row r="106" customFormat="false" ht="12.75" hidden="false" customHeight="false" outlineLevel="0" collapsed="false">
      <c r="D106" s="226" t="n">
        <v>40210</v>
      </c>
      <c r="E106" s="227" t="n">
        <v>0.0480467160847877</v>
      </c>
      <c r="F106" s="227" t="n">
        <v>4.6235</v>
      </c>
      <c r="G106" s="227" t="n">
        <v>0.19</v>
      </c>
      <c r="H106" s="227" t="n">
        <v>-0.13</v>
      </c>
      <c r="I106" s="227" t="n">
        <v>0.005</v>
      </c>
      <c r="J106" s="227" t="n">
        <v>0.19</v>
      </c>
      <c r="K106" s="227" t="n">
        <v>-0.07</v>
      </c>
      <c r="L106" s="227" t="n">
        <v>0.005</v>
      </c>
      <c r="M106" s="227" t="n">
        <v>0.19</v>
      </c>
      <c r="N106" s="227" t="n">
        <v>-0.24</v>
      </c>
      <c r="O106" s="227" t="n">
        <v>0</v>
      </c>
      <c r="P106" s="227" t="n">
        <v>0.19</v>
      </c>
      <c r="Q106" s="227" t="n">
        <v>0</v>
      </c>
      <c r="R106" s="227" t="n">
        <v>0</v>
      </c>
      <c r="S106" s="227" t="n">
        <v>0</v>
      </c>
      <c r="T106" s="227" t="n">
        <v>0</v>
      </c>
      <c r="U106" s="227" t="n">
        <v>-0.32</v>
      </c>
      <c r="V106" s="227" t="n">
        <v>0</v>
      </c>
      <c r="W106" s="227" t="n">
        <v>-0.47</v>
      </c>
      <c r="X106" s="227" t="n">
        <v>0.0051952066581979</v>
      </c>
      <c r="Y106" s="227" t="n">
        <v>0.248</v>
      </c>
      <c r="Z106" s="227" t="n">
        <v>0.06</v>
      </c>
      <c r="AA106" s="227" t="n">
        <v>0.194</v>
      </c>
      <c r="AB106" s="227" t="n">
        <v>0</v>
      </c>
      <c r="AC106" s="227" t="n">
        <v>0.03</v>
      </c>
      <c r="AD106" s="226" t="n">
        <v>0.25</v>
      </c>
      <c r="AE106" s="227" t="n">
        <v>0.04</v>
      </c>
      <c r="AF106" s="227" t="n">
        <v>0.19</v>
      </c>
      <c r="AG106" s="227" t="n">
        <v>0.57</v>
      </c>
      <c r="AH106" s="227" t="n">
        <v>0.04</v>
      </c>
      <c r="AI106" s="227" t="n">
        <v>0.37</v>
      </c>
      <c r="AJ106" s="227" t="n">
        <v>0</v>
      </c>
    </row>
    <row r="107" customFormat="false" ht="12.75" hidden="false" customHeight="false" outlineLevel="0" collapsed="false">
      <c r="D107" s="226" t="n">
        <v>40238</v>
      </c>
      <c r="E107" s="227" t="n">
        <v>0.0481333121078369</v>
      </c>
      <c r="F107" s="227" t="n">
        <v>4.4845</v>
      </c>
      <c r="G107" s="227" t="n">
        <v>0.1875</v>
      </c>
      <c r="H107" s="227" t="n">
        <v>-0.13</v>
      </c>
      <c r="I107" s="227" t="n">
        <v>0.005</v>
      </c>
      <c r="J107" s="227" t="n">
        <v>0.188</v>
      </c>
      <c r="K107" s="227" t="n">
        <v>-0.07</v>
      </c>
      <c r="L107" s="227" t="n">
        <v>0.005</v>
      </c>
      <c r="M107" s="227" t="n">
        <v>0.188</v>
      </c>
      <c r="N107" s="227" t="n">
        <v>-0.24</v>
      </c>
      <c r="O107" s="227" t="n">
        <v>0</v>
      </c>
      <c r="P107" s="227" t="n">
        <v>0.188</v>
      </c>
      <c r="Q107" s="227" t="n">
        <v>0</v>
      </c>
      <c r="R107" s="227" t="n">
        <v>0</v>
      </c>
      <c r="S107" s="227" t="n">
        <v>0</v>
      </c>
      <c r="T107" s="227" t="n">
        <v>0</v>
      </c>
      <c r="U107" s="227" t="n">
        <v>-0.32</v>
      </c>
      <c r="V107" s="227" t="n">
        <v>0</v>
      </c>
      <c r="W107" s="227" t="n">
        <v>-0.47</v>
      </c>
      <c r="X107" s="227" t="n">
        <v>0.0051916301532259</v>
      </c>
      <c r="Y107" s="227" t="n">
        <v>0.068</v>
      </c>
      <c r="Z107" s="227" t="n">
        <v>0.06</v>
      </c>
      <c r="AA107" s="227" t="n">
        <v>0.191</v>
      </c>
      <c r="AB107" s="227" t="n">
        <v>0</v>
      </c>
      <c r="AC107" s="227" t="n">
        <v>0.03</v>
      </c>
      <c r="AD107" s="226" t="n">
        <v>0.25</v>
      </c>
      <c r="AE107" s="227" t="n">
        <v>0.04</v>
      </c>
      <c r="AF107" s="227" t="n">
        <v>0.188</v>
      </c>
      <c r="AG107" s="227" t="n">
        <v>0.57</v>
      </c>
      <c r="AH107" s="227" t="n">
        <v>0.04</v>
      </c>
      <c r="AI107" s="227" t="n">
        <v>0.37</v>
      </c>
      <c r="AJ107" s="227" t="n">
        <v>0</v>
      </c>
    </row>
    <row r="108" customFormat="false" ht="12.75" hidden="false" customHeight="false" outlineLevel="0" collapsed="false">
      <c r="D108" s="226" t="n">
        <v>40269</v>
      </c>
      <c r="E108" s="227" t="n">
        <v>0.0482291862791353</v>
      </c>
      <c r="F108" s="227" t="n">
        <v>4.3305</v>
      </c>
      <c r="G108" s="227" t="n">
        <v>0.185</v>
      </c>
      <c r="H108" s="227" t="n">
        <v>-0.2</v>
      </c>
      <c r="I108" s="227" t="n">
        <v>0.0025</v>
      </c>
      <c r="J108" s="227" t="n">
        <v>0.185</v>
      </c>
      <c r="K108" s="227" t="n">
        <v>-0.07</v>
      </c>
      <c r="L108" s="227" t="n">
        <v>0.005</v>
      </c>
      <c r="M108" s="227" t="n">
        <v>0.185</v>
      </c>
      <c r="N108" s="227" t="n">
        <v>-0.32</v>
      </c>
      <c r="O108" s="227" t="n">
        <v>0</v>
      </c>
      <c r="P108" s="227" t="n">
        <v>0.185</v>
      </c>
      <c r="Q108" s="227" t="n">
        <v>0</v>
      </c>
      <c r="R108" s="227" t="n">
        <v>0</v>
      </c>
      <c r="S108" s="227" t="n">
        <v>0</v>
      </c>
      <c r="T108" s="227" t="n">
        <v>0</v>
      </c>
      <c r="U108" s="227" t="n">
        <v>-0.4</v>
      </c>
      <c r="V108" s="227" t="n">
        <v>0</v>
      </c>
      <c r="W108" s="227" t="n">
        <v>-0.595</v>
      </c>
      <c r="X108" s="227" t="n">
        <v>0.0016211300602816</v>
      </c>
      <c r="Y108" s="227" t="n">
        <v>-0.25</v>
      </c>
      <c r="Z108" s="227" t="n">
        <v>0.02</v>
      </c>
      <c r="AA108" s="227" t="n">
        <v>0.189</v>
      </c>
      <c r="AB108" s="227" t="n">
        <v>0</v>
      </c>
      <c r="AC108" s="227" t="n">
        <v>0.03</v>
      </c>
      <c r="AD108" s="226" t="n">
        <v>0.26</v>
      </c>
      <c r="AE108" s="227" t="n">
        <v>0.04</v>
      </c>
      <c r="AF108" s="227" t="n">
        <v>0.185</v>
      </c>
      <c r="AG108" s="227" t="n">
        <v>0.44</v>
      </c>
      <c r="AH108" s="227" t="n">
        <v>0.04</v>
      </c>
      <c r="AI108" s="227" t="n">
        <v>0.24</v>
      </c>
      <c r="AJ108" s="227" t="n">
        <v>0</v>
      </c>
    </row>
    <row r="109" customFormat="false" ht="12.75" hidden="false" customHeight="false" outlineLevel="0" collapsed="false">
      <c r="D109" s="226" t="n">
        <v>40299</v>
      </c>
      <c r="E109" s="227" t="n">
        <v>0.048321967738155</v>
      </c>
      <c r="F109" s="227" t="n">
        <v>4.3355</v>
      </c>
      <c r="G109" s="227" t="n">
        <v>0.185</v>
      </c>
      <c r="H109" s="227" t="n">
        <v>-0.2</v>
      </c>
      <c r="I109" s="227" t="n">
        <v>0.0025</v>
      </c>
      <c r="J109" s="227" t="n">
        <v>0.185</v>
      </c>
      <c r="K109" s="227" t="n">
        <v>-0.07</v>
      </c>
      <c r="L109" s="227" t="n">
        <v>0.005</v>
      </c>
      <c r="M109" s="227" t="n">
        <v>0.185</v>
      </c>
      <c r="N109" s="227" t="n">
        <v>-0.32</v>
      </c>
      <c r="O109" s="227" t="n">
        <v>0</v>
      </c>
      <c r="P109" s="227" t="n">
        <v>0.185</v>
      </c>
      <c r="Q109" s="227" t="n">
        <v>0</v>
      </c>
      <c r="R109" s="227" t="n">
        <v>0</v>
      </c>
      <c r="S109" s="227" t="n">
        <v>0</v>
      </c>
      <c r="T109" s="227" t="n">
        <v>0</v>
      </c>
      <c r="U109" s="227" t="n">
        <v>-0.4</v>
      </c>
      <c r="V109" s="227" t="n">
        <v>0</v>
      </c>
      <c r="W109" s="227" t="n">
        <v>-0.595</v>
      </c>
      <c r="X109" s="227" t="n">
        <v>0.0016198992382525</v>
      </c>
      <c r="Y109" s="227" t="n">
        <v>-0.25</v>
      </c>
      <c r="Z109" s="227" t="n">
        <v>0.02</v>
      </c>
      <c r="AA109" s="227" t="n">
        <v>0.189</v>
      </c>
      <c r="AB109" s="227" t="n">
        <v>0</v>
      </c>
      <c r="AC109" s="227" t="n">
        <v>0.03</v>
      </c>
      <c r="AD109" s="226" t="n">
        <v>0.26</v>
      </c>
      <c r="AE109" s="227" t="n">
        <v>0.04</v>
      </c>
      <c r="AF109" s="227" t="n">
        <v>0.185</v>
      </c>
      <c r="AG109" s="227" t="n">
        <v>0.44</v>
      </c>
      <c r="AH109" s="227" t="n">
        <v>0.04</v>
      </c>
      <c r="AI109" s="227" t="n">
        <v>0.24</v>
      </c>
      <c r="AJ109" s="227" t="n">
        <v>0</v>
      </c>
    </row>
    <row r="110" customFormat="false" ht="12.75" hidden="false" customHeight="false" outlineLevel="0" collapsed="false">
      <c r="D110" s="226" t="n">
        <v>40330</v>
      </c>
      <c r="E110" s="227" t="n">
        <v>0.0484178419154979</v>
      </c>
      <c r="F110" s="227" t="n">
        <v>4.3735</v>
      </c>
      <c r="G110" s="227" t="n">
        <v>0.185</v>
      </c>
      <c r="H110" s="227" t="n">
        <v>-0.2</v>
      </c>
      <c r="I110" s="227" t="n">
        <v>0.0025</v>
      </c>
      <c r="J110" s="227" t="n">
        <v>0.185</v>
      </c>
      <c r="K110" s="227" t="n">
        <v>-0.07</v>
      </c>
      <c r="L110" s="227" t="n">
        <v>0.005</v>
      </c>
      <c r="M110" s="227" t="n">
        <v>0.185</v>
      </c>
      <c r="N110" s="227" t="n">
        <v>-0.32</v>
      </c>
      <c r="O110" s="227" t="n">
        <v>0</v>
      </c>
      <c r="P110" s="227" t="n">
        <v>0.185</v>
      </c>
      <c r="Q110" s="227" t="n">
        <v>0</v>
      </c>
      <c r="R110" s="227" t="n">
        <v>0</v>
      </c>
      <c r="S110" s="227" t="n">
        <v>0</v>
      </c>
      <c r="T110" s="227" t="n">
        <v>0</v>
      </c>
      <c r="U110" s="227" t="n">
        <v>-0.4</v>
      </c>
      <c r="V110" s="227" t="n">
        <v>0</v>
      </c>
      <c r="W110" s="227" t="n">
        <v>-0.595</v>
      </c>
      <c r="X110" s="227" t="n">
        <v>0.0016186099476943</v>
      </c>
      <c r="Y110" s="227" t="n">
        <v>-0.25</v>
      </c>
      <c r="Z110" s="227" t="n">
        <v>0.02</v>
      </c>
      <c r="AA110" s="227" t="n">
        <v>0.189</v>
      </c>
      <c r="AB110" s="227" t="n">
        <v>0</v>
      </c>
      <c r="AC110" s="227" t="n">
        <v>0.03</v>
      </c>
      <c r="AD110" s="226" t="n">
        <v>0.26</v>
      </c>
      <c r="AE110" s="227" t="n">
        <v>0.04</v>
      </c>
      <c r="AF110" s="227" t="n">
        <v>0.185</v>
      </c>
      <c r="AG110" s="227" t="n">
        <v>0.44</v>
      </c>
      <c r="AH110" s="227" t="n">
        <v>0.04</v>
      </c>
      <c r="AI110" s="227" t="n">
        <v>0.24</v>
      </c>
      <c r="AJ110" s="227" t="n">
        <v>0</v>
      </c>
    </row>
    <row r="111" customFormat="false" ht="12.75" hidden="false" customHeight="false" outlineLevel="0" collapsed="false">
      <c r="D111" s="226" t="n">
        <v>40360</v>
      </c>
      <c r="E111" s="227" t="n">
        <v>0.0485106233803672</v>
      </c>
      <c r="F111" s="227" t="n">
        <v>4.4185</v>
      </c>
      <c r="G111" s="227" t="n">
        <v>0.185</v>
      </c>
      <c r="H111" s="227" t="n">
        <v>-0.2</v>
      </c>
      <c r="I111" s="227" t="n">
        <v>0.0025</v>
      </c>
      <c r="J111" s="227" t="n">
        <v>0.185</v>
      </c>
      <c r="K111" s="227" t="n">
        <v>-0.07</v>
      </c>
      <c r="L111" s="227" t="n">
        <v>0.005</v>
      </c>
      <c r="M111" s="227" t="n">
        <v>0.185</v>
      </c>
      <c r="N111" s="227" t="n">
        <v>-0.32</v>
      </c>
      <c r="O111" s="227" t="n">
        <v>0</v>
      </c>
      <c r="P111" s="227" t="n">
        <v>0.185</v>
      </c>
      <c r="Q111" s="227" t="n">
        <v>0</v>
      </c>
      <c r="R111" s="227" t="n">
        <v>0</v>
      </c>
      <c r="S111" s="227" t="n">
        <v>0</v>
      </c>
      <c r="T111" s="227" t="n">
        <v>0</v>
      </c>
      <c r="U111" s="227" t="n">
        <v>-0.4</v>
      </c>
      <c r="V111" s="227" t="n">
        <v>0</v>
      </c>
      <c r="W111" s="227" t="n">
        <v>-0.595</v>
      </c>
      <c r="X111" s="227" t="n">
        <v>0.0016173454129096</v>
      </c>
      <c r="Y111" s="227" t="n">
        <v>-0.25</v>
      </c>
      <c r="Z111" s="227" t="n">
        <v>0.02</v>
      </c>
      <c r="AA111" s="227" t="n">
        <v>0.189</v>
      </c>
      <c r="AB111" s="227" t="n">
        <v>0</v>
      </c>
      <c r="AC111" s="227" t="n">
        <v>0.03</v>
      </c>
      <c r="AD111" s="226" t="n">
        <v>0.26</v>
      </c>
      <c r="AE111" s="227" t="n">
        <v>0.04</v>
      </c>
      <c r="AF111" s="227" t="n">
        <v>0.185</v>
      </c>
      <c r="AG111" s="227" t="n">
        <v>0.44</v>
      </c>
      <c r="AH111" s="227" t="n">
        <v>0.04</v>
      </c>
      <c r="AI111" s="227" t="n">
        <v>0.24</v>
      </c>
      <c r="AJ111" s="227" t="n">
        <v>0</v>
      </c>
    </row>
    <row r="112" customFormat="false" ht="12.75" hidden="false" customHeight="false" outlineLevel="0" collapsed="false">
      <c r="D112" s="226" t="n">
        <v>40391</v>
      </c>
      <c r="E112" s="227" t="n">
        <v>0.0486064975637537</v>
      </c>
      <c r="F112" s="227" t="n">
        <v>4.4565</v>
      </c>
      <c r="G112" s="227" t="n">
        <v>0.185</v>
      </c>
      <c r="H112" s="227" t="n">
        <v>-0.2</v>
      </c>
      <c r="I112" s="227" t="n">
        <v>0.0025</v>
      </c>
      <c r="J112" s="227" t="n">
        <v>0.185</v>
      </c>
      <c r="K112" s="227" t="n">
        <v>-0.07</v>
      </c>
      <c r="L112" s="227" t="n">
        <v>0.005</v>
      </c>
      <c r="M112" s="227" t="n">
        <v>0.185</v>
      </c>
      <c r="N112" s="227" t="n">
        <v>-0.32</v>
      </c>
      <c r="O112" s="227" t="n">
        <v>0</v>
      </c>
      <c r="P112" s="227" t="n">
        <v>0.185</v>
      </c>
      <c r="Q112" s="227" t="n">
        <v>0</v>
      </c>
      <c r="R112" s="227" t="n">
        <v>0</v>
      </c>
      <c r="S112" s="227" t="n">
        <v>0</v>
      </c>
      <c r="T112" s="227" t="n">
        <v>0</v>
      </c>
      <c r="U112" s="227" t="n">
        <v>-0.4</v>
      </c>
      <c r="V112" s="227" t="n">
        <v>0</v>
      </c>
      <c r="W112" s="227" t="n">
        <v>-0.595</v>
      </c>
      <c r="X112" s="227" t="n">
        <v>0.0016160213783658</v>
      </c>
      <c r="Y112" s="227" t="n">
        <v>-0.25</v>
      </c>
      <c r="Z112" s="227" t="n">
        <v>0.02</v>
      </c>
      <c r="AA112" s="227" t="n">
        <v>0.189</v>
      </c>
      <c r="AB112" s="227" t="n">
        <v>0</v>
      </c>
      <c r="AC112" s="227" t="n">
        <v>0.03</v>
      </c>
      <c r="AD112" s="226" t="n">
        <v>0.26</v>
      </c>
      <c r="AE112" s="227" t="n">
        <v>0.04</v>
      </c>
      <c r="AF112" s="227" t="n">
        <v>0.185</v>
      </c>
      <c r="AG112" s="227" t="n">
        <v>0.44</v>
      </c>
      <c r="AH112" s="227" t="n">
        <v>0.04</v>
      </c>
      <c r="AI112" s="227" t="n">
        <v>0.24</v>
      </c>
      <c r="AJ112" s="227" t="n">
        <v>0</v>
      </c>
    </row>
    <row r="113" customFormat="false" ht="12.75" hidden="false" customHeight="false" outlineLevel="0" collapsed="false">
      <c r="D113" s="226" t="n">
        <v>40422</v>
      </c>
      <c r="E113" s="227" t="n">
        <v>0.0487023717502111</v>
      </c>
      <c r="F113" s="227" t="n">
        <v>4.4505</v>
      </c>
      <c r="G113" s="227" t="n">
        <v>0.185</v>
      </c>
      <c r="H113" s="227" t="n">
        <v>-0.2</v>
      </c>
      <c r="I113" s="227" t="n">
        <v>0.0025</v>
      </c>
      <c r="J113" s="227" t="n">
        <v>0.185</v>
      </c>
      <c r="K113" s="227" t="n">
        <v>-0.07</v>
      </c>
      <c r="L113" s="227" t="n">
        <v>0.005</v>
      </c>
      <c r="M113" s="227" t="n">
        <v>0.185</v>
      </c>
      <c r="N113" s="227" t="n">
        <v>-0.32</v>
      </c>
      <c r="O113" s="227" t="n">
        <v>0</v>
      </c>
      <c r="P113" s="227" t="n">
        <v>0.185</v>
      </c>
      <c r="Q113" s="227" t="n">
        <v>0</v>
      </c>
      <c r="R113" s="227" t="n">
        <v>0</v>
      </c>
      <c r="S113" s="227" t="n">
        <v>0</v>
      </c>
      <c r="T113" s="227" t="n">
        <v>0</v>
      </c>
      <c r="U113" s="227" t="n">
        <v>-0.4</v>
      </c>
      <c r="V113" s="227" t="n">
        <v>0</v>
      </c>
      <c r="W113" s="227" t="n">
        <v>-0.595</v>
      </c>
      <c r="X113" s="227" t="n">
        <v>0.0016146797589247</v>
      </c>
      <c r="Y113" s="227" t="n">
        <v>-0.25</v>
      </c>
      <c r="Z113" s="227" t="n">
        <v>0.02</v>
      </c>
      <c r="AA113" s="227" t="n">
        <v>0.189</v>
      </c>
      <c r="AB113" s="227" t="n">
        <v>0</v>
      </c>
      <c r="AC113" s="227" t="n">
        <v>0.03</v>
      </c>
      <c r="AD113" s="226" t="n">
        <v>0.26</v>
      </c>
      <c r="AE113" s="227" t="n">
        <v>0.04</v>
      </c>
      <c r="AF113" s="227" t="n">
        <v>0.185</v>
      </c>
      <c r="AG113" s="227" t="n">
        <v>0.44</v>
      </c>
      <c r="AH113" s="227" t="n">
        <v>0.04</v>
      </c>
      <c r="AI113" s="227" t="n">
        <v>0.24</v>
      </c>
      <c r="AJ113" s="227" t="n">
        <v>0</v>
      </c>
    </row>
    <row r="114" customFormat="false" ht="12.75" hidden="false" customHeight="false" outlineLevel="0" collapsed="false">
      <c r="D114" s="226" t="n">
        <v>40452</v>
      </c>
      <c r="E114" s="227" t="n">
        <v>0.0487951532239004</v>
      </c>
      <c r="F114" s="227" t="n">
        <v>4.4505</v>
      </c>
      <c r="G114" s="227" t="n">
        <v>0.185</v>
      </c>
      <c r="H114" s="227" t="n">
        <v>-0.2</v>
      </c>
      <c r="I114" s="227" t="n">
        <v>0.0025</v>
      </c>
      <c r="J114" s="227" t="n">
        <v>0.185</v>
      </c>
      <c r="K114" s="227" t="n">
        <v>-0.07</v>
      </c>
      <c r="L114" s="227" t="n">
        <v>0.005</v>
      </c>
      <c r="M114" s="227" t="n">
        <v>0.185</v>
      </c>
      <c r="N114" s="227" t="n">
        <v>-0.32</v>
      </c>
      <c r="O114" s="227" t="n">
        <v>0</v>
      </c>
      <c r="P114" s="227" t="n">
        <v>0.185</v>
      </c>
      <c r="Q114" s="227" t="n">
        <v>0</v>
      </c>
      <c r="R114" s="227" t="n">
        <v>0</v>
      </c>
      <c r="S114" s="227" t="n">
        <v>0</v>
      </c>
      <c r="T114" s="227" t="n">
        <v>0</v>
      </c>
      <c r="U114" s="227" t="n">
        <v>-0.4</v>
      </c>
      <c r="V114" s="227" t="n">
        <v>0</v>
      </c>
      <c r="W114" s="227" t="n">
        <v>-0.595</v>
      </c>
      <c r="X114" s="227" t="n">
        <v>0.0016133647206873</v>
      </c>
      <c r="Y114" s="227" t="n">
        <v>-0.25</v>
      </c>
      <c r="Z114" s="227" t="n">
        <v>0.02</v>
      </c>
      <c r="AA114" s="227" t="n">
        <v>0.189</v>
      </c>
      <c r="AB114" s="227" t="n">
        <v>0</v>
      </c>
      <c r="AC114" s="227" t="n">
        <v>0.03</v>
      </c>
      <c r="AD114" s="226" t="n">
        <v>0.26</v>
      </c>
      <c r="AE114" s="227" t="n">
        <v>0.04</v>
      </c>
      <c r="AF114" s="227" t="n">
        <v>0.185</v>
      </c>
      <c r="AG114" s="227" t="n">
        <v>0.44</v>
      </c>
      <c r="AH114" s="227" t="n">
        <v>0.04</v>
      </c>
      <c r="AI114" s="227" t="n">
        <v>0.24</v>
      </c>
      <c r="AJ114" s="227" t="n">
        <v>0</v>
      </c>
    </row>
    <row r="115" customFormat="false" ht="12.75" hidden="false" customHeight="false" outlineLevel="0" collapsed="false">
      <c r="D115" s="226" t="n">
        <v>40483</v>
      </c>
      <c r="E115" s="227" t="n">
        <v>0.0488910274164001</v>
      </c>
      <c r="F115" s="227" t="n">
        <v>4.6205</v>
      </c>
      <c r="G115" s="227" t="n">
        <v>0.185</v>
      </c>
      <c r="H115" s="227" t="n">
        <v>-0.13</v>
      </c>
      <c r="I115" s="227" t="n">
        <v>0.005</v>
      </c>
      <c r="J115" s="227" t="n">
        <v>0.185</v>
      </c>
      <c r="K115" s="227" t="n">
        <v>-0.07</v>
      </c>
      <c r="L115" s="227" t="n">
        <v>0.005</v>
      </c>
      <c r="M115" s="227" t="n">
        <v>0.185</v>
      </c>
      <c r="N115" s="227" t="n">
        <v>-0.24</v>
      </c>
      <c r="O115" s="227" t="n">
        <v>0</v>
      </c>
      <c r="P115" s="227" t="n">
        <v>0.185</v>
      </c>
      <c r="Q115" s="227" t="n">
        <v>0</v>
      </c>
      <c r="R115" s="227" t="n">
        <v>0</v>
      </c>
      <c r="S115" s="227" t="n">
        <v>0</v>
      </c>
      <c r="T115" s="227" t="n">
        <v>0</v>
      </c>
      <c r="U115" s="227" t="n">
        <v>-0.32</v>
      </c>
      <c r="V115" s="227" t="n">
        <v>0</v>
      </c>
      <c r="W115" s="227" t="n">
        <v>-0.565</v>
      </c>
      <c r="X115" s="227" t="n">
        <v>0.0051583636570919</v>
      </c>
      <c r="Y115" s="227" t="n">
        <v>0.248</v>
      </c>
      <c r="Z115" s="227" t="n">
        <v>0.06</v>
      </c>
      <c r="AA115" s="227" t="n">
        <v>0.189</v>
      </c>
      <c r="AB115" s="227" t="n">
        <v>0</v>
      </c>
      <c r="AC115" s="227" t="n">
        <v>0.03</v>
      </c>
      <c r="AD115" s="226" t="n">
        <v>0.35</v>
      </c>
      <c r="AE115" s="227" t="n">
        <v>0.042</v>
      </c>
      <c r="AF115" s="227" t="n">
        <v>0.185</v>
      </c>
      <c r="AG115" s="227" t="n">
        <v>0.5</v>
      </c>
      <c r="AH115" s="227" t="n">
        <v>0.042</v>
      </c>
      <c r="AI115" s="227" t="n">
        <v>0.3</v>
      </c>
      <c r="AJ115" s="227" t="n">
        <v>0</v>
      </c>
    </row>
    <row r="116" customFormat="false" ht="12.75" hidden="false" customHeight="false" outlineLevel="0" collapsed="false">
      <c r="D116" s="226" t="n">
        <v>40513</v>
      </c>
      <c r="E116" s="227" t="n">
        <v>0.0489838088959367</v>
      </c>
      <c r="F116" s="227" t="n">
        <v>4.7515</v>
      </c>
      <c r="G116" s="227" t="n">
        <v>0.185</v>
      </c>
      <c r="H116" s="227" t="n">
        <v>-0.13</v>
      </c>
      <c r="I116" s="227" t="n">
        <v>0.005</v>
      </c>
      <c r="J116" s="227" t="n">
        <v>0.185</v>
      </c>
      <c r="K116" s="227" t="n">
        <v>-0.07</v>
      </c>
      <c r="L116" s="227" t="n">
        <v>0.005</v>
      </c>
      <c r="M116" s="227" t="n">
        <v>0.185</v>
      </c>
      <c r="N116" s="227" t="n">
        <v>-0.24</v>
      </c>
      <c r="O116" s="227" t="n">
        <v>0</v>
      </c>
      <c r="P116" s="227" t="n">
        <v>0.185</v>
      </c>
      <c r="Q116" s="227" t="n">
        <v>0</v>
      </c>
      <c r="R116" s="227" t="n">
        <v>0</v>
      </c>
      <c r="S116" s="227" t="n">
        <v>0</v>
      </c>
      <c r="T116" s="227" t="n">
        <v>0</v>
      </c>
      <c r="U116" s="227" t="n">
        <v>-0.32</v>
      </c>
      <c r="V116" s="227" t="n">
        <v>0</v>
      </c>
      <c r="W116" s="227" t="n">
        <v>-0.565</v>
      </c>
      <c r="X116" s="227" t="n">
        <v>0.0051540491246169</v>
      </c>
      <c r="Y116" s="227" t="n">
        <v>0.308</v>
      </c>
      <c r="Z116" s="227" t="n">
        <v>0.06</v>
      </c>
      <c r="AA116" s="227" t="n">
        <v>0.189</v>
      </c>
      <c r="AB116" s="227" t="n">
        <v>0</v>
      </c>
      <c r="AC116" s="227" t="n">
        <v>0.03</v>
      </c>
      <c r="AD116" s="226" t="n">
        <v>0.35</v>
      </c>
      <c r="AE116" s="227" t="n">
        <v>0.042</v>
      </c>
      <c r="AF116" s="227" t="n">
        <v>0.185</v>
      </c>
      <c r="AG116" s="227" t="n">
        <v>0.57</v>
      </c>
      <c r="AH116" s="227" t="n">
        <v>0.042</v>
      </c>
      <c r="AI116" s="227" t="n">
        <v>0.37</v>
      </c>
      <c r="AJ116" s="227" t="n">
        <v>0</v>
      </c>
    </row>
    <row r="117" customFormat="false" ht="12.75" hidden="false" customHeight="false" outlineLevel="0" collapsed="false">
      <c r="D117" s="226" t="n">
        <v>40544</v>
      </c>
      <c r="E117" s="227" t="n">
        <v>0.0490796830944791</v>
      </c>
      <c r="F117" s="227" t="n">
        <v>4.8215</v>
      </c>
      <c r="G117" s="227" t="n">
        <v>0.185</v>
      </c>
      <c r="H117" s="227" t="n">
        <v>-0.13</v>
      </c>
      <c r="I117" s="227" t="n">
        <v>0.005</v>
      </c>
      <c r="J117" s="227" t="n">
        <v>0.185</v>
      </c>
      <c r="K117" s="227" t="n">
        <v>-0.07</v>
      </c>
      <c r="L117" s="227" t="n">
        <v>0.005</v>
      </c>
      <c r="M117" s="227" t="n">
        <v>0.185</v>
      </c>
      <c r="N117" s="227" t="n">
        <v>-0.24</v>
      </c>
      <c r="O117" s="227" t="n">
        <v>0</v>
      </c>
      <c r="P117" s="227" t="n">
        <v>0.185</v>
      </c>
      <c r="Q117" s="227" t="n">
        <v>0</v>
      </c>
      <c r="R117" s="227" t="n">
        <v>0</v>
      </c>
      <c r="S117" s="227" t="n">
        <v>0</v>
      </c>
      <c r="T117" s="227" t="n">
        <v>0</v>
      </c>
      <c r="U117" s="227" t="n">
        <v>-0.32</v>
      </c>
      <c r="V117" s="227" t="n">
        <v>0</v>
      </c>
      <c r="W117" s="227" t="n">
        <v>-0.565</v>
      </c>
      <c r="X117" s="227" t="n">
        <v>0.0051495360315526</v>
      </c>
      <c r="Y117" s="227" t="n">
        <v>0.378</v>
      </c>
      <c r="Z117" s="227" t="n">
        <v>0.06</v>
      </c>
      <c r="AA117" s="227" t="n">
        <v>0.189</v>
      </c>
      <c r="AB117" s="227" t="n">
        <v>0</v>
      </c>
      <c r="AC117" s="227" t="n">
        <v>0.03</v>
      </c>
      <c r="AD117" s="226" t="n">
        <v>0.35</v>
      </c>
      <c r="AE117" s="227" t="n">
        <v>0.042</v>
      </c>
      <c r="AF117" s="227" t="n">
        <v>0.185</v>
      </c>
      <c r="AG117" s="227" t="n">
        <v>0.57</v>
      </c>
      <c r="AH117" s="227" t="n">
        <v>0.042</v>
      </c>
      <c r="AI117" s="227" t="n">
        <v>0.37</v>
      </c>
      <c r="AJ117" s="227" t="n">
        <v>0</v>
      </c>
    </row>
    <row r="118" customFormat="false" ht="12.75" hidden="false" customHeight="false" outlineLevel="0" collapsed="false">
      <c r="D118" s="226" t="n">
        <v>40575</v>
      </c>
      <c r="E118" s="227" t="n">
        <v>0.0491755572960919</v>
      </c>
      <c r="F118" s="227" t="n">
        <v>4.7335</v>
      </c>
      <c r="G118" s="227" t="n">
        <v>0.185</v>
      </c>
      <c r="H118" s="227" t="n">
        <v>-0.13</v>
      </c>
      <c r="I118" s="227" t="n">
        <v>0.005</v>
      </c>
      <c r="J118" s="227" t="n">
        <v>0.185</v>
      </c>
      <c r="K118" s="227" t="n">
        <v>-0.07</v>
      </c>
      <c r="L118" s="227" t="n">
        <v>0.005</v>
      </c>
      <c r="M118" s="227" t="n">
        <v>0.185</v>
      </c>
      <c r="N118" s="227" t="n">
        <v>-0.24</v>
      </c>
      <c r="O118" s="227" t="n">
        <v>0</v>
      </c>
      <c r="P118" s="227" t="n">
        <v>0.185</v>
      </c>
      <c r="Q118" s="227" t="n">
        <v>0</v>
      </c>
      <c r="R118" s="227" t="n">
        <v>0</v>
      </c>
      <c r="S118" s="227" t="n">
        <v>0</v>
      </c>
      <c r="T118" s="227" t="n">
        <v>0</v>
      </c>
      <c r="U118" s="227" t="n">
        <v>-0.32</v>
      </c>
      <c r="V118" s="227" t="n">
        <v>0</v>
      </c>
      <c r="W118" s="227" t="n">
        <v>-0.565</v>
      </c>
      <c r="X118" s="227" t="n">
        <v>0.0051449674608161</v>
      </c>
      <c r="Y118" s="227" t="n">
        <v>0.248</v>
      </c>
      <c r="Z118" s="227" t="n">
        <v>0.06</v>
      </c>
      <c r="AA118" s="227" t="n">
        <v>0.189</v>
      </c>
      <c r="AB118" s="227" t="n">
        <v>0</v>
      </c>
      <c r="AC118" s="227" t="n">
        <v>0.03</v>
      </c>
      <c r="AD118" s="226" t="n">
        <v>0.35</v>
      </c>
      <c r="AE118" s="227" t="n">
        <v>0.042</v>
      </c>
      <c r="AF118" s="227" t="n">
        <v>0.185</v>
      </c>
      <c r="AG118" s="227" t="n">
        <v>0.57</v>
      </c>
      <c r="AH118" s="227" t="n">
        <v>0.042</v>
      </c>
      <c r="AI118" s="227" t="n">
        <v>0.37</v>
      </c>
      <c r="AJ118" s="227" t="n">
        <v>0</v>
      </c>
    </row>
    <row r="119" customFormat="false" ht="12.75" hidden="false" customHeight="false" outlineLevel="0" collapsed="false">
      <c r="D119" s="226" t="n">
        <v>40603</v>
      </c>
      <c r="E119" s="227" t="n">
        <v>0.0492621533518003</v>
      </c>
      <c r="F119" s="227" t="n">
        <v>4.5945</v>
      </c>
      <c r="G119" s="227" t="n">
        <v>0.18</v>
      </c>
      <c r="H119" s="227" t="n">
        <v>-0.13</v>
      </c>
      <c r="I119" s="227" t="n">
        <v>0.005</v>
      </c>
      <c r="J119" s="227" t="n">
        <v>0.18</v>
      </c>
      <c r="K119" s="227" t="n">
        <v>-0.07</v>
      </c>
      <c r="L119" s="227" t="n">
        <v>0.005</v>
      </c>
      <c r="M119" s="227" t="n">
        <v>0.18</v>
      </c>
      <c r="N119" s="227" t="n">
        <v>-0.24</v>
      </c>
      <c r="O119" s="227" t="n">
        <v>0</v>
      </c>
      <c r="P119" s="227" t="n">
        <v>0.18</v>
      </c>
      <c r="Q119" s="227" t="n">
        <v>0</v>
      </c>
      <c r="R119" s="227" t="n">
        <v>0</v>
      </c>
      <c r="S119" s="227" t="n">
        <v>0</v>
      </c>
      <c r="T119" s="227" t="n">
        <v>0</v>
      </c>
      <c r="U119" s="227" t="n">
        <v>-0.32</v>
      </c>
      <c r="V119" s="227" t="n">
        <v>0</v>
      </c>
      <c r="W119" s="227" t="n">
        <v>-0.565</v>
      </c>
      <c r="X119" s="227" t="n">
        <v>0.0051407934637021</v>
      </c>
      <c r="Y119" s="227" t="n">
        <v>0.068</v>
      </c>
      <c r="Z119" s="227" t="n">
        <v>0.06</v>
      </c>
      <c r="AA119" s="227" t="n">
        <v>0.184</v>
      </c>
      <c r="AB119" s="227" t="n">
        <v>0</v>
      </c>
      <c r="AC119" s="227" t="n">
        <v>0.03</v>
      </c>
      <c r="AD119" s="226" t="n">
        <v>0.35</v>
      </c>
      <c r="AE119" s="227" t="n">
        <v>0.042</v>
      </c>
      <c r="AF119" s="227" t="n">
        <v>0.18</v>
      </c>
      <c r="AG119" s="227" t="n">
        <v>0.57</v>
      </c>
      <c r="AH119" s="227" t="n">
        <v>0.042</v>
      </c>
      <c r="AI119" s="227" t="n">
        <v>0.37</v>
      </c>
      <c r="AJ119" s="227" t="n">
        <v>0</v>
      </c>
    </row>
    <row r="120" customFormat="false" ht="12.75" hidden="false" customHeight="false" outlineLevel="0" collapsed="false">
      <c r="D120" s="226" t="n">
        <v>40634</v>
      </c>
      <c r="E120" s="227" t="n">
        <v>0.0493580275592564</v>
      </c>
      <c r="F120" s="227" t="n">
        <v>4.4405</v>
      </c>
      <c r="G120" s="227" t="n">
        <v>0.18</v>
      </c>
      <c r="H120" s="227" t="n">
        <v>-0.2</v>
      </c>
      <c r="I120" s="227" t="n">
        <v>0.0025</v>
      </c>
      <c r="J120" s="227" t="n">
        <v>0.18</v>
      </c>
      <c r="K120" s="227" t="n">
        <v>-0.07</v>
      </c>
      <c r="L120" s="227" t="n">
        <v>0.005</v>
      </c>
      <c r="M120" s="227" t="n">
        <v>0.18</v>
      </c>
      <c r="N120" s="227" t="n">
        <v>-0.32</v>
      </c>
      <c r="O120" s="227" t="n">
        <v>0</v>
      </c>
      <c r="P120" s="227" t="n">
        <v>0.18</v>
      </c>
      <c r="Q120" s="227" t="n">
        <v>0</v>
      </c>
      <c r="R120" s="227" t="n">
        <v>0</v>
      </c>
      <c r="S120" s="227" t="n">
        <v>0</v>
      </c>
      <c r="T120" s="227" t="n">
        <v>0</v>
      </c>
      <c r="U120" s="227" t="n">
        <v>-0.4</v>
      </c>
      <c r="V120" s="227" t="n">
        <v>0</v>
      </c>
      <c r="W120" s="227" t="n">
        <v>-0.565</v>
      </c>
      <c r="X120" s="227" t="n">
        <v>0.0016050374271033</v>
      </c>
      <c r="Y120" s="227" t="n">
        <v>-0.25</v>
      </c>
      <c r="Z120" s="227" t="n">
        <v>0.02</v>
      </c>
      <c r="AA120" s="227" t="n">
        <v>0.184</v>
      </c>
      <c r="AB120" s="227" t="n">
        <v>0</v>
      </c>
      <c r="AC120" s="227" t="n">
        <v>0.03</v>
      </c>
      <c r="AD120" s="226" t="n">
        <v>0.43</v>
      </c>
      <c r="AE120" s="227" t="n">
        <v>0.042</v>
      </c>
      <c r="AF120" s="227" t="n">
        <v>0.18</v>
      </c>
      <c r="AG120" s="227" t="n">
        <v>0.44</v>
      </c>
      <c r="AH120" s="227" t="n">
        <v>0.042</v>
      </c>
      <c r="AI120" s="227" t="n">
        <v>0.24</v>
      </c>
      <c r="AJ120" s="227" t="n">
        <v>0</v>
      </c>
    </row>
    <row r="121" customFormat="false" ht="12.75" hidden="false" customHeight="false" outlineLevel="0" collapsed="false">
      <c r="D121" s="226" t="n">
        <v>40664</v>
      </c>
      <c r="E121" s="227" t="n">
        <v>0.0494508090532659</v>
      </c>
      <c r="F121" s="227" t="n">
        <v>4.4455</v>
      </c>
      <c r="G121" s="227" t="n">
        <v>0.18</v>
      </c>
      <c r="H121" s="227" t="n">
        <v>-0.2</v>
      </c>
      <c r="I121" s="227" t="n">
        <v>0.0025</v>
      </c>
      <c r="J121" s="227" t="n">
        <v>0.18</v>
      </c>
      <c r="K121" s="227" t="n">
        <v>-0.07</v>
      </c>
      <c r="L121" s="227" t="n">
        <v>0.005</v>
      </c>
      <c r="M121" s="227" t="n">
        <v>0.18</v>
      </c>
      <c r="N121" s="227" t="n">
        <v>-0.32</v>
      </c>
      <c r="O121" s="227" t="n">
        <v>0</v>
      </c>
      <c r="P121" s="227" t="n">
        <v>0.18</v>
      </c>
      <c r="Q121" s="227" t="n">
        <v>0</v>
      </c>
      <c r="R121" s="227" t="n">
        <v>0</v>
      </c>
      <c r="S121" s="227" t="n">
        <v>0</v>
      </c>
      <c r="T121" s="227" t="n">
        <v>0</v>
      </c>
      <c r="U121" s="227" t="n">
        <v>-0.4</v>
      </c>
      <c r="V121" s="227" t="n">
        <v>0</v>
      </c>
      <c r="W121" s="227" t="n">
        <v>-0.565</v>
      </c>
      <c r="X121" s="227" t="n">
        <v>0.0016036076481127</v>
      </c>
      <c r="Y121" s="227" t="n">
        <v>-0.1</v>
      </c>
      <c r="Z121" s="227" t="n">
        <v>0.02</v>
      </c>
      <c r="AA121" s="227" t="n">
        <v>0.184</v>
      </c>
      <c r="AB121" s="227" t="n">
        <v>0</v>
      </c>
      <c r="AC121" s="227" t="n">
        <v>0.03</v>
      </c>
      <c r="AD121" s="226" t="n">
        <v>0.43</v>
      </c>
      <c r="AE121" s="227" t="n">
        <v>0</v>
      </c>
      <c r="AF121" s="227" t="n">
        <v>0.18</v>
      </c>
      <c r="AG121" s="227" t="n">
        <v>0.44</v>
      </c>
      <c r="AH121" s="227" t="n">
        <v>0</v>
      </c>
      <c r="AI121" s="227" t="n">
        <v>0.24</v>
      </c>
      <c r="AJ121" s="227" t="n">
        <v>0</v>
      </c>
    </row>
    <row r="122" customFormat="false" ht="12.75" hidden="false" customHeight="false" outlineLevel="0" collapsed="false">
      <c r="D122" s="226" t="n">
        <v>40695</v>
      </c>
      <c r="E122" s="227" t="n">
        <v>0.0495466832667626</v>
      </c>
      <c r="F122" s="227" t="n">
        <v>4.4835</v>
      </c>
      <c r="G122" s="227" t="n">
        <v>0.18</v>
      </c>
      <c r="H122" s="227" t="n">
        <v>-0.2</v>
      </c>
      <c r="I122" s="227" t="n">
        <v>0.0025</v>
      </c>
      <c r="J122" s="227" t="n">
        <v>0.18</v>
      </c>
      <c r="K122" s="227" t="n">
        <v>-0.07</v>
      </c>
      <c r="L122" s="227" t="n">
        <v>0.005</v>
      </c>
      <c r="M122" s="227" t="n">
        <v>0.18</v>
      </c>
      <c r="N122" s="227" t="n">
        <v>-0.32</v>
      </c>
      <c r="O122" s="227" t="n">
        <v>0</v>
      </c>
      <c r="P122" s="227" t="n">
        <v>0.18</v>
      </c>
      <c r="Q122" s="227" t="n">
        <v>0</v>
      </c>
      <c r="R122" s="227" t="n">
        <v>0</v>
      </c>
      <c r="S122" s="227" t="n">
        <v>0</v>
      </c>
      <c r="T122" s="227" t="n">
        <v>0</v>
      </c>
      <c r="U122" s="227" t="n">
        <v>-0.4</v>
      </c>
      <c r="V122" s="227" t="n">
        <v>0</v>
      </c>
      <c r="W122" s="227" t="n">
        <v>-0.565</v>
      </c>
      <c r="X122" s="227" t="n">
        <v>0.0016021133538662</v>
      </c>
      <c r="Y122" s="227" t="n">
        <v>-0.1</v>
      </c>
      <c r="Z122" s="227" t="n">
        <v>0.02</v>
      </c>
      <c r="AA122" s="227" t="n">
        <v>0.184</v>
      </c>
      <c r="AB122" s="227" t="n">
        <v>0</v>
      </c>
      <c r="AC122" s="227" t="n">
        <v>0.03</v>
      </c>
      <c r="AD122" s="226" t="n">
        <v>0.43</v>
      </c>
      <c r="AE122" s="227" t="n">
        <v>0</v>
      </c>
      <c r="AF122" s="227" t="n">
        <v>0.18</v>
      </c>
      <c r="AG122" s="227" t="n">
        <v>0.44</v>
      </c>
      <c r="AH122" s="227" t="n">
        <v>0</v>
      </c>
      <c r="AI122" s="227" t="n">
        <v>0.24</v>
      </c>
      <c r="AJ122" s="227" t="n">
        <v>0</v>
      </c>
    </row>
    <row r="123" customFormat="false" ht="12.75" hidden="false" customHeight="false" outlineLevel="0" collapsed="false">
      <c r="D123" s="226" t="n">
        <v>40725</v>
      </c>
      <c r="E123" s="227" t="n">
        <v>0.0496394647666176</v>
      </c>
      <c r="F123" s="227" t="n">
        <v>4.5285</v>
      </c>
      <c r="G123" s="227" t="n">
        <v>0.18</v>
      </c>
      <c r="H123" s="227" t="n">
        <v>-0.2</v>
      </c>
      <c r="I123" s="227" t="n">
        <v>0.0025</v>
      </c>
      <c r="J123" s="227" t="n">
        <v>0.18</v>
      </c>
      <c r="K123" s="227" t="n">
        <v>-0.07</v>
      </c>
      <c r="L123" s="227" t="n">
        <v>0.005</v>
      </c>
      <c r="M123" s="227" t="n">
        <v>0.18</v>
      </c>
      <c r="N123" s="227" t="n">
        <v>-0.32</v>
      </c>
      <c r="O123" s="227" t="n">
        <v>0</v>
      </c>
      <c r="P123" s="227" t="n">
        <v>0.18</v>
      </c>
      <c r="Q123" s="227" t="n">
        <v>0</v>
      </c>
      <c r="R123" s="227" t="n">
        <v>0</v>
      </c>
      <c r="S123" s="227" t="n">
        <v>0</v>
      </c>
      <c r="T123" s="227" t="n">
        <v>0</v>
      </c>
      <c r="U123" s="227" t="n">
        <v>-0.4</v>
      </c>
      <c r="V123" s="227" t="n">
        <v>0</v>
      </c>
      <c r="W123" s="227" t="n">
        <v>-0.565</v>
      </c>
      <c r="X123" s="227" t="n">
        <v>0.0016006510007373</v>
      </c>
      <c r="Y123" s="227" t="n">
        <v>-0.1</v>
      </c>
      <c r="Z123" s="227" t="n">
        <v>0.02</v>
      </c>
      <c r="AA123" s="227" t="n">
        <v>0.184</v>
      </c>
      <c r="AB123" s="227" t="n">
        <v>0</v>
      </c>
      <c r="AC123" s="227" t="n">
        <v>0.03</v>
      </c>
      <c r="AD123" s="226" t="n">
        <v>0.43</v>
      </c>
      <c r="AE123" s="227" t="n">
        <v>0</v>
      </c>
      <c r="AF123" s="227" t="n">
        <v>0.18</v>
      </c>
      <c r="AG123" s="227" t="n">
        <v>0.44</v>
      </c>
      <c r="AH123" s="227" t="n">
        <v>0</v>
      </c>
      <c r="AI123" s="227" t="n">
        <v>0.24</v>
      </c>
      <c r="AJ123" s="227" t="n">
        <v>0</v>
      </c>
    </row>
    <row r="124" customFormat="false" ht="12.75" hidden="false" customHeight="false" outlineLevel="0" collapsed="false">
      <c r="D124" s="226" t="n">
        <v>40756</v>
      </c>
      <c r="E124" s="227" t="n">
        <v>0.0497353389861543</v>
      </c>
      <c r="F124" s="227" t="n">
        <v>4.5665</v>
      </c>
      <c r="G124" s="227" t="n">
        <v>0.18</v>
      </c>
      <c r="H124" s="227" t="n">
        <v>-0.2</v>
      </c>
      <c r="I124" s="227" t="n">
        <v>0.0025</v>
      </c>
      <c r="J124" s="227" t="n">
        <v>0.18</v>
      </c>
      <c r="K124" s="227" t="n">
        <v>-0.07</v>
      </c>
      <c r="L124" s="227" t="n">
        <v>0.005</v>
      </c>
      <c r="M124" s="227" t="n">
        <v>0.18</v>
      </c>
      <c r="N124" s="227" t="n">
        <v>-0.32</v>
      </c>
      <c r="O124" s="227" t="n">
        <v>0</v>
      </c>
      <c r="P124" s="227" t="n">
        <v>0.18</v>
      </c>
      <c r="Q124" s="227" t="n">
        <v>0</v>
      </c>
      <c r="R124" s="227" t="n">
        <v>0</v>
      </c>
      <c r="S124" s="227" t="n">
        <v>0</v>
      </c>
      <c r="T124" s="227" t="n">
        <v>0</v>
      </c>
      <c r="U124" s="227" t="n">
        <v>-0.4</v>
      </c>
      <c r="V124" s="227" t="n">
        <v>0</v>
      </c>
      <c r="W124" s="227" t="n">
        <v>-0.565</v>
      </c>
      <c r="X124" s="227" t="n">
        <v>0.0015991231515649</v>
      </c>
      <c r="Y124" s="227" t="n">
        <v>-0.1</v>
      </c>
      <c r="Z124" s="227" t="n">
        <v>0.02</v>
      </c>
      <c r="AA124" s="227" t="n">
        <v>0.184</v>
      </c>
      <c r="AB124" s="227" t="n">
        <v>0</v>
      </c>
      <c r="AC124" s="227" t="n">
        <v>0.03</v>
      </c>
      <c r="AD124" s="226" t="n">
        <v>0.43</v>
      </c>
      <c r="AE124" s="227" t="n">
        <v>0</v>
      </c>
      <c r="AF124" s="227" t="n">
        <v>0.18</v>
      </c>
      <c r="AG124" s="227" t="n">
        <v>0.44</v>
      </c>
      <c r="AH124" s="227" t="n">
        <v>0</v>
      </c>
      <c r="AI124" s="227" t="n">
        <v>0.24</v>
      </c>
      <c r="AJ124" s="227" t="n">
        <v>0</v>
      </c>
    </row>
    <row r="125" customFormat="false" ht="12.75" hidden="false" customHeight="false" outlineLevel="0" collapsed="false">
      <c r="D125" s="226" t="n">
        <v>40787</v>
      </c>
      <c r="E125" s="227" t="n">
        <v>0.049831213208761</v>
      </c>
      <c r="F125" s="227" t="n">
        <v>4.5605</v>
      </c>
      <c r="G125" s="227" t="n">
        <v>0.18</v>
      </c>
      <c r="H125" s="227" t="n">
        <v>-0.2</v>
      </c>
      <c r="I125" s="227" t="n">
        <v>0.0025</v>
      </c>
      <c r="J125" s="227" t="n">
        <v>0.18</v>
      </c>
      <c r="K125" s="227" t="n">
        <v>-0.07</v>
      </c>
      <c r="L125" s="227" t="n">
        <v>0.005</v>
      </c>
      <c r="M125" s="227" t="n">
        <v>0.18</v>
      </c>
      <c r="N125" s="227" t="n">
        <v>-0.32</v>
      </c>
      <c r="O125" s="227" t="n">
        <v>0</v>
      </c>
      <c r="P125" s="227" t="n">
        <v>0.18</v>
      </c>
      <c r="Q125" s="227" t="n">
        <v>0</v>
      </c>
      <c r="R125" s="227" t="n">
        <v>0</v>
      </c>
      <c r="S125" s="227" t="n">
        <v>0</v>
      </c>
      <c r="T125" s="227" t="n">
        <v>0</v>
      </c>
      <c r="U125" s="227" t="n">
        <v>-0.4</v>
      </c>
      <c r="V125" s="227" t="n">
        <v>0</v>
      </c>
      <c r="W125" s="227" t="n">
        <v>-0.565</v>
      </c>
      <c r="X125" s="227" t="n">
        <v>0.0015975783312815</v>
      </c>
      <c r="Y125" s="227" t="n">
        <v>-0.1</v>
      </c>
      <c r="Z125" s="227" t="n">
        <v>0.02</v>
      </c>
      <c r="AA125" s="227" t="n">
        <v>0.184</v>
      </c>
      <c r="AB125" s="227" t="n">
        <v>0</v>
      </c>
      <c r="AC125" s="227" t="n">
        <v>0.03</v>
      </c>
      <c r="AD125" s="226" t="n">
        <v>0.43</v>
      </c>
      <c r="AE125" s="227" t="n">
        <v>0</v>
      </c>
      <c r="AF125" s="227" t="n">
        <v>0.18</v>
      </c>
      <c r="AG125" s="227" t="n">
        <v>0.44</v>
      </c>
      <c r="AH125" s="227" t="n">
        <v>0</v>
      </c>
      <c r="AI125" s="227" t="n">
        <v>0.24</v>
      </c>
      <c r="AJ125" s="227" t="n">
        <v>0</v>
      </c>
    </row>
    <row r="126" customFormat="false" ht="12.75" hidden="false" customHeight="false" outlineLevel="0" collapsed="false">
      <c r="D126" s="226" t="n">
        <v>40817</v>
      </c>
      <c r="E126" s="227" t="n">
        <v>0.0499239947174317</v>
      </c>
      <c r="F126" s="227" t="n">
        <v>4.5605</v>
      </c>
      <c r="G126" s="227" t="n">
        <v>0.18</v>
      </c>
      <c r="H126" s="227" t="n">
        <v>-0.2</v>
      </c>
      <c r="I126" s="227" t="n">
        <v>0.0025</v>
      </c>
      <c r="J126" s="227" t="n">
        <v>0.18</v>
      </c>
      <c r="K126" s="227" t="n">
        <v>-0.07</v>
      </c>
      <c r="L126" s="227" t="n">
        <v>0.005</v>
      </c>
      <c r="M126" s="227" t="n">
        <v>0.18</v>
      </c>
      <c r="N126" s="227" t="n">
        <v>-0.32</v>
      </c>
      <c r="O126" s="227" t="n">
        <v>0</v>
      </c>
      <c r="P126" s="227" t="n">
        <v>0.18</v>
      </c>
      <c r="Q126" s="227" t="n">
        <v>0</v>
      </c>
      <c r="R126" s="227" t="n">
        <v>0</v>
      </c>
      <c r="S126" s="227" t="n">
        <v>0</v>
      </c>
      <c r="T126" s="227" t="n">
        <v>0</v>
      </c>
      <c r="U126" s="227" t="n">
        <v>-0.4</v>
      </c>
      <c r="V126" s="227" t="n">
        <v>0</v>
      </c>
      <c r="W126" s="227" t="n">
        <v>-0.565</v>
      </c>
      <c r="X126" s="227" t="n">
        <v>0.0015960672374654</v>
      </c>
      <c r="Y126" s="227" t="n">
        <v>-0.1</v>
      </c>
      <c r="Z126" s="227" t="n">
        <v>0.02</v>
      </c>
      <c r="AA126" s="227" t="n">
        <v>0.184</v>
      </c>
      <c r="AB126" s="227" t="n">
        <v>0</v>
      </c>
      <c r="AC126" s="227" t="n">
        <v>0.03</v>
      </c>
      <c r="AD126" s="226" t="n">
        <v>0.43</v>
      </c>
      <c r="AE126" s="227" t="n">
        <v>0</v>
      </c>
      <c r="AF126" s="227" t="n">
        <v>0.18</v>
      </c>
      <c r="AG126" s="227" t="n">
        <v>0.44</v>
      </c>
      <c r="AH126" s="227" t="n">
        <v>0</v>
      </c>
      <c r="AI126" s="227" t="n">
        <v>0.24</v>
      </c>
      <c r="AJ126" s="227" t="n">
        <v>0</v>
      </c>
    </row>
    <row r="127" customFormat="false" ht="12.75" hidden="false" customHeight="false" outlineLevel="0" collapsed="false">
      <c r="D127" s="226" t="n">
        <v>40848</v>
      </c>
      <c r="E127" s="227" t="n">
        <v>0.0500198689460776</v>
      </c>
      <c r="F127" s="227" t="n">
        <v>4.7305</v>
      </c>
      <c r="G127" s="227" t="n">
        <v>0.18</v>
      </c>
      <c r="H127" s="227" t="n">
        <v>-0.13</v>
      </c>
      <c r="I127" s="227" t="n">
        <v>0.005</v>
      </c>
      <c r="J127" s="227" t="n">
        <v>0.18</v>
      </c>
      <c r="K127" s="227" t="n">
        <v>-0.07</v>
      </c>
      <c r="L127" s="227" t="n">
        <v>0.005</v>
      </c>
      <c r="M127" s="227" t="n">
        <v>0.18</v>
      </c>
      <c r="N127" s="227" t="n">
        <v>-0.24</v>
      </c>
      <c r="O127" s="227" t="n">
        <v>0</v>
      </c>
      <c r="P127" s="227" t="n">
        <v>0.18</v>
      </c>
      <c r="Q127" s="227" t="n">
        <v>0</v>
      </c>
      <c r="R127" s="227" t="n">
        <v>0</v>
      </c>
      <c r="S127" s="227" t="n">
        <v>0</v>
      </c>
      <c r="T127" s="227" t="n">
        <v>0</v>
      </c>
      <c r="U127" s="227" t="n">
        <v>-0.32</v>
      </c>
      <c r="V127" s="227" t="n">
        <v>0</v>
      </c>
      <c r="W127" s="227" t="n">
        <v>-0.52</v>
      </c>
      <c r="X127" s="227" t="n">
        <v>0.0051023653922793</v>
      </c>
      <c r="Y127" s="227" t="n">
        <v>0.248</v>
      </c>
      <c r="Z127" s="227" t="n">
        <v>0.06</v>
      </c>
      <c r="AA127" s="227" t="n">
        <v>0.184</v>
      </c>
      <c r="AB127" s="227" t="n">
        <v>0</v>
      </c>
      <c r="AC127" s="227" t="n">
        <v>0.03</v>
      </c>
      <c r="AD127" s="226" t="n">
        <v>0.35</v>
      </c>
      <c r="AE127" s="227" t="n">
        <v>0</v>
      </c>
      <c r="AF127" s="227" t="n">
        <v>0.18</v>
      </c>
      <c r="AG127" s="227" t="n">
        <v>0.5</v>
      </c>
      <c r="AH127" s="227" t="n">
        <v>0</v>
      </c>
      <c r="AI127" s="227" t="n">
        <v>0.3</v>
      </c>
      <c r="AJ127" s="227" t="n">
        <v>0</v>
      </c>
    </row>
    <row r="128" customFormat="false" ht="12.75" hidden="false" customHeight="false" outlineLevel="0" collapsed="false">
      <c r="D128" s="226" t="n">
        <v>40878</v>
      </c>
      <c r="E128" s="227" t="n">
        <v>0.05008182450897</v>
      </c>
      <c r="F128" s="227" t="n">
        <v>4.8615</v>
      </c>
      <c r="G128" s="227" t="n">
        <v>0.18</v>
      </c>
      <c r="H128" s="227" t="n">
        <v>-0.13</v>
      </c>
      <c r="I128" s="227" t="n">
        <v>0.005</v>
      </c>
      <c r="J128" s="227" t="n">
        <v>0.18</v>
      </c>
      <c r="K128" s="227" t="n">
        <v>-0.07</v>
      </c>
      <c r="L128" s="227" t="n">
        <v>0.005</v>
      </c>
      <c r="M128" s="227" t="n">
        <v>0.18</v>
      </c>
      <c r="N128" s="227" t="n">
        <v>-0.24</v>
      </c>
      <c r="O128" s="227" t="n">
        <v>0</v>
      </c>
      <c r="P128" s="227" t="n">
        <v>0.18</v>
      </c>
      <c r="Q128" s="227" t="n">
        <v>0</v>
      </c>
      <c r="R128" s="227" t="n">
        <v>0</v>
      </c>
      <c r="S128" s="227" t="n">
        <v>0</v>
      </c>
      <c r="T128" s="227" t="n">
        <v>0</v>
      </c>
      <c r="U128" s="227" t="n">
        <v>-0.32</v>
      </c>
      <c r="V128" s="227" t="n">
        <v>0</v>
      </c>
      <c r="W128" s="227" t="n">
        <v>-0.52</v>
      </c>
      <c r="X128" s="227" t="n">
        <v>0.0051005192904859</v>
      </c>
      <c r="Y128" s="227" t="n">
        <v>0.308</v>
      </c>
      <c r="Z128" s="227" t="n">
        <v>0.06</v>
      </c>
      <c r="AA128" s="227" t="n">
        <v>0.184</v>
      </c>
      <c r="AB128" s="227" t="n">
        <v>0</v>
      </c>
      <c r="AC128" s="227" t="n">
        <v>0.03</v>
      </c>
      <c r="AD128" s="226" t="n">
        <v>0.35</v>
      </c>
      <c r="AE128" s="227" t="n">
        <v>0</v>
      </c>
      <c r="AF128" s="227" t="n">
        <v>0.18</v>
      </c>
      <c r="AG128" s="227" t="n">
        <v>0.57</v>
      </c>
      <c r="AH128" s="227" t="n">
        <v>0</v>
      </c>
      <c r="AI128" s="227" t="n">
        <v>0.37</v>
      </c>
      <c r="AJ128" s="227" t="n">
        <v>0</v>
      </c>
    </row>
    <row r="129" customFormat="false" ht="12.75" hidden="false" customHeight="false" outlineLevel="0" collapsed="false">
      <c r="D129" s="226" t="n">
        <v>40909</v>
      </c>
      <c r="E129" s="227" t="n">
        <v>0.0501378818876845</v>
      </c>
      <c r="F129" s="227" t="n">
        <v>4.934</v>
      </c>
      <c r="G129" s="227" t="n">
        <v>0.18</v>
      </c>
      <c r="H129" s="227" t="n">
        <v>-0.13</v>
      </c>
      <c r="I129" s="227" t="n">
        <v>0.005</v>
      </c>
      <c r="J129" s="227" t="n">
        <v>0.18</v>
      </c>
      <c r="K129" s="227" t="n">
        <v>-0.07</v>
      </c>
      <c r="L129" s="227" t="n">
        <v>0.005</v>
      </c>
      <c r="M129" s="227" t="n">
        <v>0.18</v>
      </c>
      <c r="N129" s="227" t="n">
        <v>-0.24</v>
      </c>
      <c r="O129" s="227" t="n">
        <v>0</v>
      </c>
      <c r="P129" s="227" t="n">
        <v>0.18</v>
      </c>
      <c r="Q129" s="227" t="n">
        <v>0</v>
      </c>
      <c r="R129" s="227" t="n">
        <v>0</v>
      </c>
      <c r="S129" s="227" t="n">
        <v>0</v>
      </c>
      <c r="T129" s="227" t="n">
        <v>0</v>
      </c>
      <c r="U129" s="227" t="n">
        <v>-0.32</v>
      </c>
      <c r="V129" s="227" t="n">
        <v>0</v>
      </c>
      <c r="W129" s="227" t="n">
        <v>-0.52</v>
      </c>
      <c r="X129" s="227" t="n">
        <v>0.0050982043980856</v>
      </c>
      <c r="Y129" s="227" t="n">
        <v>0.378</v>
      </c>
      <c r="Z129" s="227" t="n">
        <v>0.06</v>
      </c>
      <c r="AA129" s="227" t="n">
        <v>0.184</v>
      </c>
      <c r="AB129" s="227" t="n">
        <v>0</v>
      </c>
      <c r="AC129" s="227" t="n">
        <v>0.03</v>
      </c>
      <c r="AD129" s="226" t="n">
        <v>0.35</v>
      </c>
      <c r="AE129" s="227" t="n">
        <v>0</v>
      </c>
      <c r="AF129" s="227" t="n">
        <v>0.18</v>
      </c>
      <c r="AG129" s="227" t="n">
        <v>0.57</v>
      </c>
      <c r="AH129" s="227" t="n">
        <v>0</v>
      </c>
      <c r="AI129" s="227" t="n">
        <v>0.37</v>
      </c>
      <c r="AJ129" s="227" t="n">
        <v>0</v>
      </c>
    </row>
    <row r="130" customFormat="false" ht="12.75" hidden="false" customHeight="false" outlineLevel="0" collapsed="false">
      <c r="D130" s="226" t="n">
        <v>40940</v>
      </c>
      <c r="E130" s="227" t="n">
        <v>0.0501939392674475</v>
      </c>
      <c r="F130" s="227" t="n">
        <v>4.846</v>
      </c>
      <c r="G130" s="227" t="n">
        <v>0.175</v>
      </c>
      <c r="H130" s="227" t="n">
        <v>-0.13</v>
      </c>
      <c r="I130" s="227" t="n">
        <v>0.005</v>
      </c>
      <c r="J130" s="227" t="n">
        <v>0.175</v>
      </c>
      <c r="K130" s="227" t="n">
        <v>-0.07</v>
      </c>
      <c r="L130" s="227" t="n">
        <v>0.005</v>
      </c>
      <c r="M130" s="227" t="n">
        <v>0.175</v>
      </c>
      <c r="N130" s="227" t="n">
        <v>-0.24</v>
      </c>
      <c r="O130" s="227" t="n">
        <v>0</v>
      </c>
      <c r="P130" s="227" t="n">
        <v>0.175</v>
      </c>
      <c r="Q130" s="227" t="n">
        <v>0</v>
      </c>
      <c r="R130" s="227" t="n">
        <v>0</v>
      </c>
      <c r="S130" s="227" t="n">
        <v>0</v>
      </c>
      <c r="T130" s="227" t="n">
        <v>0</v>
      </c>
      <c r="U130" s="227" t="n">
        <v>-0.32</v>
      </c>
      <c r="V130" s="227" t="n">
        <v>0</v>
      </c>
      <c r="W130" s="227" t="n">
        <v>-0.52</v>
      </c>
      <c r="X130" s="227" t="n">
        <v>0.0050958784563291</v>
      </c>
      <c r="Y130" s="227" t="n">
        <v>0.248</v>
      </c>
      <c r="Z130" s="227" t="n">
        <v>0.06</v>
      </c>
      <c r="AA130" s="227" t="n">
        <v>0.179</v>
      </c>
      <c r="AB130" s="227" t="n">
        <v>0</v>
      </c>
      <c r="AC130" s="227" t="n">
        <v>0.03</v>
      </c>
      <c r="AD130" s="226" t="n">
        <v>0.35</v>
      </c>
      <c r="AE130" s="227" t="n">
        <v>0</v>
      </c>
      <c r="AF130" s="227" t="n">
        <v>0.175</v>
      </c>
      <c r="AG130" s="227" t="n">
        <v>0.57</v>
      </c>
      <c r="AH130" s="227" t="n">
        <v>0</v>
      </c>
      <c r="AI130" s="227" t="n">
        <v>0.37</v>
      </c>
      <c r="AJ130" s="227" t="n">
        <v>0</v>
      </c>
    </row>
    <row r="131" customFormat="false" ht="12.75" hidden="false" customHeight="false" outlineLevel="0" collapsed="false">
      <c r="D131" s="226" t="n">
        <v>40969</v>
      </c>
      <c r="E131" s="227" t="n">
        <v>0.0502463800430148</v>
      </c>
      <c r="F131" s="227" t="n">
        <v>4.707</v>
      </c>
      <c r="G131" s="227" t="n">
        <v>0.17</v>
      </c>
      <c r="H131" s="227" t="n">
        <v>-0.13</v>
      </c>
      <c r="I131" s="227" t="n">
        <v>0.005</v>
      </c>
      <c r="J131" s="227" t="n">
        <v>0.17</v>
      </c>
      <c r="K131" s="227" t="n">
        <v>-0.07</v>
      </c>
      <c r="L131" s="227" t="n">
        <v>0.005</v>
      </c>
      <c r="M131" s="227" t="n">
        <v>0.17</v>
      </c>
      <c r="N131" s="227" t="n">
        <v>-0.24</v>
      </c>
      <c r="O131" s="227" t="n">
        <v>0</v>
      </c>
      <c r="P131" s="227" t="n">
        <v>0.17</v>
      </c>
      <c r="Q131" s="227" t="n">
        <v>0</v>
      </c>
      <c r="R131" s="227" t="n">
        <v>0</v>
      </c>
      <c r="S131" s="227" t="n">
        <v>0</v>
      </c>
      <c r="T131" s="227" t="n">
        <v>0</v>
      </c>
      <c r="U131" s="227" t="n">
        <v>-0.32</v>
      </c>
      <c r="V131" s="227" t="n">
        <v>0</v>
      </c>
      <c r="W131" s="227" t="n">
        <v>-0.52</v>
      </c>
      <c r="X131" s="227" t="n">
        <v>0.0050936925875097</v>
      </c>
      <c r="Y131" s="227" t="n">
        <v>0.068</v>
      </c>
      <c r="Z131" s="227" t="n">
        <v>0.06</v>
      </c>
      <c r="AA131" s="227" t="n">
        <v>0.173</v>
      </c>
      <c r="AB131" s="227" t="n">
        <v>0</v>
      </c>
      <c r="AC131" s="227" t="n">
        <v>0.03</v>
      </c>
      <c r="AD131" s="226" t="n">
        <v>0.35</v>
      </c>
      <c r="AE131" s="227" t="n">
        <v>0</v>
      </c>
      <c r="AF131" s="227" t="n">
        <v>0.17</v>
      </c>
      <c r="AG131" s="227" t="n">
        <v>0.57</v>
      </c>
      <c r="AH131" s="227" t="n">
        <v>0</v>
      </c>
      <c r="AI131" s="227" t="n">
        <v>0.37</v>
      </c>
      <c r="AJ131" s="227" t="n">
        <v>0</v>
      </c>
    </row>
    <row r="132" customFormat="false" ht="12.75" hidden="false" customHeight="false" outlineLevel="0" collapsed="false">
      <c r="D132" s="226" t="n">
        <v>41000</v>
      </c>
      <c r="E132" s="227" t="n">
        <v>0.0503024374248082</v>
      </c>
      <c r="F132" s="227" t="n">
        <v>4.553</v>
      </c>
      <c r="G132" s="227" t="n">
        <v>0.17</v>
      </c>
      <c r="H132" s="227" t="n">
        <v>-0.2</v>
      </c>
      <c r="I132" s="227" t="n">
        <v>0.0025</v>
      </c>
      <c r="J132" s="227" t="n">
        <v>0.17</v>
      </c>
      <c r="K132" s="227" t="n">
        <v>-0.07</v>
      </c>
      <c r="L132" s="227" t="n">
        <v>0.005</v>
      </c>
      <c r="M132" s="227" t="n">
        <v>0.17</v>
      </c>
      <c r="N132" s="227" t="n">
        <v>-0.32</v>
      </c>
      <c r="O132" s="227" t="n">
        <v>0</v>
      </c>
      <c r="P132" s="227" t="n">
        <v>0.17</v>
      </c>
      <c r="Q132" s="227" t="n">
        <v>0</v>
      </c>
      <c r="R132" s="227" t="n">
        <v>0</v>
      </c>
      <c r="S132" s="227" t="n">
        <v>0</v>
      </c>
      <c r="T132" s="227" t="n">
        <v>0</v>
      </c>
      <c r="U132" s="227" t="n">
        <v>-0.4</v>
      </c>
      <c r="V132" s="227" t="n">
        <v>0</v>
      </c>
      <c r="W132" s="227" t="n">
        <v>-0.633</v>
      </c>
      <c r="X132" s="227" t="n">
        <v>0.0015910454090103</v>
      </c>
      <c r="Y132" s="227" t="n">
        <v>-0.25</v>
      </c>
      <c r="Z132" s="227" t="n">
        <v>0.02</v>
      </c>
      <c r="AA132" s="227" t="n">
        <v>0.173</v>
      </c>
      <c r="AB132" s="227" t="n">
        <v>0</v>
      </c>
      <c r="AC132" s="227" t="n">
        <v>0.03</v>
      </c>
      <c r="AD132" s="226" t="n">
        <v>0.43</v>
      </c>
      <c r="AE132" s="227" t="n">
        <v>0</v>
      </c>
      <c r="AF132" s="227" t="n">
        <v>0.17</v>
      </c>
      <c r="AG132" s="227" t="n">
        <v>0.44</v>
      </c>
      <c r="AH132" s="227" t="n">
        <v>0</v>
      </c>
      <c r="AI132" s="227" t="n">
        <v>0.24</v>
      </c>
      <c r="AJ132" s="227" t="n">
        <v>0</v>
      </c>
    </row>
    <row r="133" customFormat="false" ht="12.75" hidden="false" customHeight="false" outlineLevel="0" collapsed="false">
      <c r="D133" s="226" t="n">
        <v>41030</v>
      </c>
      <c r="E133" s="227" t="n">
        <v>0.0503566865049629</v>
      </c>
      <c r="F133" s="227" t="n">
        <v>4.558</v>
      </c>
      <c r="G133" s="227" t="n">
        <v>0.17</v>
      </c>
      <c r="H133" s="227" t="n">
        <v>-0.2</v>
      </c>
      <c r="I133" s="227" t="n">
        <v>0.0025</v>
      </c>
      <c r="J133" s="227" t="n">
        <v>0.17</v>
      </c>
      <c r="K133" s="227" t="n">
        <v>-0.07</v>
      </c>
      <c r="L133" s="227" t="n">
        <v>0.005</v>
      </c>
      <c r="M133" s="227" t="n">
        <v>0.17</v>
      </c>
      <c r="N133" s="227" t="n">
        <v>-0.32</v>
      </c>
      <c r="O133" s="227" t="n">
        <v>0</v>
      </c>
      <c r="P133" s="227" t="n">
        <v>0.17</v>
      </c>
      <c r="Q133" s="227" t="n">
        <v>0</v>
      </c>
      <c r="R133" s="227" t="n">
        <v>0</v>
      </c>
      <c r="S133" s="227" t="n">
        <v>0</v>
      </c>
      <c r="T133" s="227" t="n">
        <v>0</v>
      </c>
      <c r="U133" s="227" t="n">
        <v>-0.4</v>
      </c>
      <c r="V133" s="227" t="n">
        <v>0</v>
      </c>
      <c r="W133" s="227" t="n">
        <v>-0.633</v>
      </c>
      <c r="X133" s="227" t="n">
        <v>0.0015903322738921</v>
      </c>
      <c r="Y133" s="227" t="n">
        <v>-0.1</v>
      </c>
      <c r="Z133" s="227" t="n">
        <v>0.02</v>
      </c>
      <c r="AA133" s="227" t="n">
        <v>0.173</v>
      </c>
      <c r="AB133" s="227" t="n">
        <v>0</v>
      </c>
      <c r="AC133" s="227" t="n">
        <v>0.03</v>
      </c>
      <c r="AD133" s="226" t="n">
        <v>0.43</v>
      </c>
      <c r="AE133" s="227" t="n">
        <v>0</v>
      </c>
      <c r="AF133" s="227" t="n">
        <v>0.17</v>
      </c>
      <c r="AG133" s="227" t="n">
        <v>0.44</v>
      </c>
      <c r="AH133" s="227" t="n">
        <v>0</v>
      </c>
      <c r="AI133" s="227" t="n">
        <v>0.24</v>
      </c>
      <c r="AJ133" s="227" t="n">
        <v>0</v>
      </c>
    </row>
    <row r="134" customFormat="false" ht="12.75" hidden="false" customHeight="false" outlineLevel="0" collapsed="false">
      <c r="D134" s="226" t="n">
        <v>41061</v>
      </c>
      <c r="E134" s="227" t="n">
        <v>0.0504127438888209</v>
      </c>
      <c r="F134" s="227" t="n">
        <v>4.596</v>
      </c>
      <c r="G134" s="227" t="n">
        <v>0.17</v>
      </c>
      <c r="H134" s="227" t="n">
        <v>-0.2</v>
      </c>
      <c r="I134" s="227" t="n">
        <v>0.0025</v>
      </c>
      <c r="J134" s="227" t="n">
        <v>0.17</v>
      </c>
      <c r="K134" s="227" t="n">
        <v>-0.07</v>
      </c>
      <c r="L134" s="227" t="n">
        <v>0.005</v>
      </c>
      <c r="M134" s="227" t="n">
        <v>0.17</v>
      </c>
      <c r="N134" s="227" t="n">
        <v>-0.32</v>
      </c>
      <c r="O134" s="227" t="n">
        <v>0</v>
      </c>
      <c r="P134" s="227" t="n">
        <v>0.17</v>
      </c>
      <c r="Q134" s="227" t="n">
        <v>0</v>
      </c>
      <c r="R134" s="227" t="n">
        <v>0</v>
      </c>
      <c r="S134" s="227" t="n">
        <v>0</v>
      </c>
      <c r="T134" s="227" t="n">
        <v>0</v>
      </c>
      <c r="U134" s="227" t="n">
        <v>-0.4</v>
      </c>
      <c r="V134" s="227" t="n">
        <v>0</v>
      </c>
      <c r="W134" s="227" t="n">
        <v>-0.633</v>
      </c>
      <c r="X134" s="227" t="n">
        <v>0.0015895919911941</v>
      </c>
      <c r="Y134" s="227" t="n">
        <v>-0.1</v>
      </c>
      <c r="Z134" s="227" t="n">
        <v>0.02</v>
      </c>
      <c r="AA134" s="227" t="n">
        <v>0.173</v>
      </c>
      <c r="AB134" s="227" t="n">
        <v>0</v>
      </c>
      <c r="AC134" s="227" t="n">
        <v>0.03</v>
      </c>
      <c r="AD134" s="226" t="n">
        <v>0.43</v>
      </c>
      <c r="AE134" s="227" t="n">
        <v>0</v>
      </c>
      <c r="AF134" s="227" t="n">
        <v>0.17</v>
      </c>
      <c r="AG134" s="227" t="n">
        <v>0.44</v>
      </c>
      <c r="AH134" s="227" t="n">
        <v>0</v>
      </c>
      <c r="AI134" s="227" t="n">
        <v>0.24</v>
      </c>
      <c r="AJ134" s="227" t="n">
        <v>0</v>
      </c>
    </row>
    <row r="135" customFormat="false" ht="12.75" hidden="false" customHeight="false" outlineLevel="0" collapsed="false">
      <c r="D135" s="226" t="n">
        <v>41091</v>
      </c>
      <c r="E135" s="227" t="n">
        <v>0.0504669929709727</v>
      </c>
      <c r="F135" s="227" t="n">
        <v>4.641</v>
      </c>
      <c r="G135" s="227" t="n">
        <v>0.17</v>
      </c>
      <c r="H135" s="227" t="n">
        <v>-0.2</v>
      </c>
      <c r="I135" s="227" t="n">
        <v>0.0025</v>
      </c>
      <c r="J135" s="227" t="n">
        <v>0.17</v>
      </c>
      <c r="K135" s="227" t="n">
        <v>-0.07</v>
      </c>
      <c r="L135" s="227" t="n">
        <v>0.005</v>
      </c>
      <c r="M135" s="227" t="n">
        <v>0.17</v>
      </c>
      <c r="N135" s="227" t="n">
        <v>-0.32</v>
      </c>
      <c r="O135" s="227" t="n">
        <v>0</v>
      </c>
      <c r="P135" s="227" t="n">
        <v>0.17</v>
      </c>
      <c r="Q135" s="227" t="n">
        <v>0</v>
      </c>
      <c r="R135" s="227" t="n">
        <v>0</v>
      </c>
      <c r="S135" s="227" t="n">
        <v>0</v>
      </c>
      <c r="T135" s="227" t="n">
        <v>0</v>
      </c>
      <c r="U135" s="227" t="n">
        <v>-0.4</v>
      </c>
      <c r="V135" s="227" t="n">
        <v>0</v>
      </c>
      <c r="W135" s="227" t="n">
        <v>-0.633</v>
      </c>
      <c r="X135" s="227" t="n">
        <v>0.001588872326177</v>
      </c>
      <c r="Y135" s="227" t="n">
        <v>-0.1</v>
      </c>
      <c r="Z135" s="227" t="n">
        <v>0.02</v>
      </c>
      <c r="AA135" s="227" t="n">
        <v>0.173</v>
      </c>
      <c r="AB135" s="227" t="n">
        <v>0</v>
      </c>
      <c r="AC135" s="227" t="n">
        <v>0.03</v>
      </c>
      <c r="AD135" s="226" t="n">
        <v>0.43</v>
      </c>
      <c r="AE135" s="227" t="n">
        <v>0</v>
      </c>
      <c r="AF135" s="227" t="n">
        <v>0.17</v>
      </c>
      <c r="AG135" s="227" t="n">
        <v>0.44</v>
      </c>
      <c r="AH135" s="227" t="n">
        <v>0</v>
      </c>
      <c r="AI135" s="227" t="n">
        <v>0.24</v>
      </c>
      <c r="AJ135" s="227" t="n">
        <v>0</v>
      </c>
    </row>
    <row r="136" customFormat="false" ht="12.75" hidden="false" customHeight="false" outlineLevel="0" collapsed="false">
      <c r="D136" s="226" t="n">
        <v>41122</v>
      </c>
      <c r="E136" s="227" t="n">
        <v>0.0505230503568948</v>
      </c>
      <c r="F136" s="227" t="n">
        <v>4.679</v>
      </c>
      <c r="G136" s="227" t="n">
        <v>0.17</v>
      </c>
      <c r="H136" s="227" t="n">
        <v>-0.2</v>
      </c>
      <c r="I136" s="227" t="n">
        <v>0.0025</v>
      </c>
      <c r="J136" s="227" t="n">
        <v>0.17</v>
      </c>
      <c r="K136" s="227" t="n">
        <v>-0.07</v>
      </c>
      <c r="L136" s="227" t="n">
        <v>0.005</v>
      </c>
      <c r="M136" s="227" t="n">
        <v>0.17</v>
      </c>
      <c r="N136" s="227" t="n">
        <v>-0.32</v>
      </c>
      <c r="O136" s="227" t="n">
        <v>0</v>
      </c>
      <c r="P136" s="227" t="n">
        <v>0.17</v>
      </c>
      <c r="Q136" s="227" t="n">
        <v>0</v>
      </c>
      <c r="R136" s="227" t="n">
        <v>0</v>
      </c>
      <c r="S136" s="227" t="n">
        <v>0</v>
      </c>
      <c r="T136" s="227" t="n">
        <v>0</v>
      </c>
      <c r="U136" s="227" t="n">
        <v>-0.4</v>
      </c>
      <c r="V136" s="227" t="n">
        <v>0</v>
      </c>
      <c r="W136" s="227" t="n">
        <v>-0.633</v>
      </c>
      <c r="X136" s="227" t="n">
        <v>0.0015881253065074</v>
      </c>
      <c r="Y136" s="227" t="n">
        <v>-0.1</v>
      </c>
      <c r="Z136" s="227" t="n">
        <v>0.02</v>
      </c>
      <c r="AA136" s="227" t="n">
        <v>0.173</v>
      </c>
      <c r="AB136" s="227" t="n">
        <v>0</v>
      </c>
      <c r="AC136" s="227" t="n">
        <v>0.03</v>
      </c>
      <c r="AD136" s="226" t="n">
        <v>0.43</v>
      </c>
      <c r="AE136" s="227" t="n">
        <v>0</v>
      </c>
      <c r="AF136" s="227" t="n">
        <v>0.17</v>
      </c>
      <c r="AG136" s="227" t="n">
        <v>0.44</v>
      </c>
      <c r="AH136" s="227" t="n">
        <v>0</v>
      </c>
      <c r="AI136" s="227" t="n">
        <v>0.24</v>
      </c>
      <c r="AJ136" s="227" t="n">
        <v>0</v>
      </c>
    </row>
    <row r="137" customFormat="false" ht="12.75" hidden="false" customHeight="false" outlineLevel="0" collapsed="false">
      <c r="D137" s="226" t="n">
        <v>41153</v>
      </c>
      <c r="E137" s="227" t="n">
        <v>0.0505791077438662</v>
      </c>
      <c r="F137" s="227" t="n">
        <v>4.673</v>
      </c>
      <c r="G137" s="227" t="n">
        <v>0.17</v>
      </c>
      <c r="H137" s="227" t="n">
        <v>-0.2</v>
      </c>
      <c r="I137" s="227" t="n">
        <v>0.0025</v>
      </c>
      <c r="J137" s="227" t="n">
        <v>0.17</v>
      </c>
      <c r="K137" s="227" t="n">
        <v>-0.07</v>
      </c>
      <c r="L137" s="227" t="n">
        <v>0.005</v>
      </c>
      <c r="M137" s="227" t="n">
        <v>0.17</v>
      </c>
      <c r="N137" s="227" t="n">
        <v>-0.32</v>
      </c>
      <c r="O137" s="227" t="n">
        <v>0</v>
      </c>
      <c r="P137" s="227" t="n">
        <v>0.17</v>
      </c>
      <c r="Q137" s="227" t="n">
        <v>0</v>
      </c>
      <c r="R137" s="227" t="n">
        <v>0</v>
      </c>
      <c r="S137" s="227" t="n">
        <v>0</v>
      </c>
      <c r="T137" s="227" t="n">
        <v>0</v>
      </c>
      <c r="U137" s="227" t="n">
        <v>-0.4</v>
      </c>
      <c r="V137" s="227" t="n">
        <v>0</v>
      </c>
      <c r="W137" s="227" t="n">
        <v>-0.633</v>
      </c>
      <c r="X137" s="227" t="n">
        <v>0.0015873748712843</v>
      </c>
      <c r="Y137" s="227" t="n">
        <v>-0.1</v>
      </c>
      <c r="Z137" s="227" t="n">
        <v>0.02</v>
      </c>
      <c r="AA137" s="227" t="n">
        <v>0.173</v>
      </c>
      <c r="AB137" s="227" t="n">
        <v>0</v>
      </c>
      <c r="AC137" s="227" t="n">
        <v>0.03</v>
      </c>
      <c r="AD137" s="226" t="n">
        <v>0.43</v>
      </c>
      <c r="AE137" s="227" t="n">
        <v>0</v>
      </c>
      <c r="AF137" s="227" t="n">
        <v>0.17</v>
      </c>
      <c r="AG137" s="227" t="n">
        <v>0.44</v>
      </c>
      <c r="AH137" s="227" t="n">
        <v>0</v>
      </c>
      <c r="AI137" s="227" t="n">
        <v>0.24</v>
      </c>
      <c r="AJ137" s="227" t="n">
        <v>0</v>
      </c>
    </row>
    <row r="138" customFormat="false" ht="12.75" hidden="false" customHeight="false" outlineLevel="0" collapsed="false">
      <c r="D138" s="226" t="n">
        <v>41183</v>
      </c>
      <c r="E138" s="227" t="n">
        <v>0.0506333568290302</v>
      </c>
      <c r="F138" s="227" t="n">
        <v>4.673</v>
      </c>
      <c r="G138" s="227" t="n">
        <v>0.17</v>
      </c>
      <c r="H138" s="227" t="n">
        <v>-0.2</v>
      </c>
      <c r="I138" s="227" t="n">
        <v>0.0025</v>
      </c>
      <c r="J138" s="227" t="n">
        <v>0.17</v>
      </c>
      <c r="K138" s="227" t="n">
        <v>-0.07</v>
      </c>
      <c r="L138" s="227" t="n">
        <v>0.005</v>
      </c>
      <c r="M138" s="227" t="n">
        <v>0.17</v>
      </c>
      <c r="N138" s="227" t="n">
        <v>-0.32</v>
      </c>
      <c r="O138" s="227" t="n">
        <v>0</v>
      </c>
      <c r="P138" s="227" t="n">
        <v>0.17</v>
      </c>
      <c r="Q138" s="227" t="n">
        <v>0</v>
      </c>
      <c r="R138" s="227" t="n">
        <v>0</v>
      </c>
      <c r="S138" s="227" t="n">
        <v>0</v>
      </c>
      <c r="T138" s="227" t="n">
        <v>0</v>
      </c>
      <c r="U138" s="227" t="n">
        <v>-0.4</v>
      </c>
      <c r="V138" s="227" t="n">
        <v>0</v>
      </c>
      <c r="W138" s="227" t="n">
        <v>-0.633</v>
      </c>
      <c r="X138" s="227" t="n">
        <v>0.0015866453967889</v>
      </c>
      <c r="Y138" s="227" t="n">
        <v>-0.1</v>
      </c>
      <c r="Z138" s="227" t="n">
        <v>0.02</v>
      </c>
      <c r="AA138" s="227" t="n">
        <v>0.173</v>
      </c>
      <c r="AB138" s="227" t="n">
        <v>0</v>
      </c>
      <c r="AC138" s="227" t="n">
        <v>0.03</v>
      </c>
      <c r="AD138" s="226" t="n">
        <v>0.43</v>
      </c>
      <c r="AE138" s="227" t="n">
        <v>0</v>
      </c>
      <c r="AF138" s="227" t="n">
        <v>0.17</v>
      </c>
      <c r="AG138" s="227" t="n">
        <v>0.44</v>
      </c>
      <c r="AH138" s="227" t="n">
        <v>0</v>
      </c>
      <c r="AI138" s="227" t="n">
        <v>0.24</v>
      </c>
      <c r="AJ138" s="227" t="n">
        <v>0</v>
      </c>
    </row>
    <row r="139" customFormat="false" ht="12.75" hidden="false" customHeight="false" outlineLevel="0" collapsed="false">
      <c r="D139" s="226" t="n">
        <v>41214</v>
      </c>
      <c r="E139" s="227" t="n">
        <v>0.0506894142180654</v>
      </c>
      <c r="F139" s="227" t="n">
        <v>4.843</v>
      </c>
      <c r="G139" s="227" t="n">
        <v>0.17</v>
      </c>
      <c r="H139" s="227" t="n">
        <v>-0.13</v>
      </c>
      <c r="I139" s="227" t="n">
        <v>0.005</v>
      </c>
      <c r="J139" s="227" t="n">
        <v>0.17</v>
      </c>
      <c r="K139" s="227" t="n">
        <v>-0.07</v>
      </c>
      <c r="L139" s="227" t="n">
        <v>0.005</v>
      </c>
      <c r="M139" s="227" t="n">
        <v>0.17</v>
      </c>
      <c r="N139" s="227" t="n">
        <v>-0.24</v>
      </c>
      <c r="O139" s="227" t="n">
        <v>0</v>
      </c>
      <c r="P139" s="227" t="n">
        <v>0.17</v>
      </c>
      <c r="Q139" s="227" t="n">
        <v>0</v>
      </c>
      <c r="R139" s="227" t="n">
        <v>0</v>
      </c>
      <c r="S139" s="227" t="n">
        <v>0</v>
      </c>
      <c r="T139" s="227" t="n">
        <v>0</v>
      </c>
      <c r="U139" s="227" t="n">
        <v>-0.32</v>
      </c>
      <c r="V139" s="227" t="n">
        <v>0</v>
      </c>
      <c r="W139" s="227" t="n">
        <v>-0.573</v>
      </c>
      <c r="X139" s="227" t="n">
        <v>0.0050748424217077</v>
      </c>
      <c r="Y139" s="227" t="n">
        <v>0.248</v>
      </c>
      <c r="Z139" s="227" t="n">
        <v>0.06</v>
      </c>
      <c r="AA139" s="227" t="n">
        <v>0.173</v>
      </c>
      <c r="AB139" s="227" t="n">
        <v>0</v>
      </c>
      <c r="AC139" s="227" t="n">
        <v>0.03</v>
      </c>
      <c r="AD139" s="226" t="n">
        <v>0.35</v>
      </c>
      <c r="AE139" s="227" t="n">
        <v>0</v>
      </c>
      <c r="AF139" s="227" t="n">
        <v>0.17</v>
      </c>
      <c r="AG139" s="227" t="n">
        <v>0.5</v>
      </c>
      <c r="AH139" s="227" t="n">
        <v>0</v>
      </c>
      <c r="AI139" s="227" t="n">
        <v>0.3</v>
      </c>
      <c r="AJ139" s="227" t="n">
        <v>0</v>
      </c>
    </row>
    <row r="140" customFormat="false" ht="12.75" hidden="false" customHeight="false" outlineLevel="0" collapsed="false">
      <c r="D140" s="226" t="n">
        <v>41244</v>
      </c>
      <c r="E140" s="227" t="n">
        <v>0.050743663305227</v>
      </c>
      <c r="F140" s="227" t="n">
        <v>4.974</v>
      </c>
      <c r="G140" s="227" t="n">
        <v>0.17</v>
      </c>
      <c r="H140" s="227" t="n">
        <v>-0.13</v>
      </c>
      <c r="I140" s="227" t="n">
        <v>0.005</v>
      </c>
      <c r="J140" s="227" t="n">
        <v>0.17</v>
      </c>
      <c r="K140" s="227" t="n">
        <v>-0.07</v>
      </c>
      <c r="L140" s="227" t="n">
        <v>0.005</v>
      </c>
      <c r="M140" s="227" t="n">
        <v>0.17</v>
      </c>
      <c r="N140" s="227" t="n">
        <v>-0.24</v>
      </c>
      <c r="O140" s="227" t="n">
        <v>0</v>
      </c>
      <c r="P140" s="227" t="n">
        <v>0.17</v>
      </c>
      <c r="Q140" s="227" t="n">
        <v>0</v>
      </c>
      <c r="R140" s="227" t="n">
        <v>0</v>
      </c>
      <c r="S140" s="227" t="n">
        <v>0</v>
      </c>
      <c r="T140" s="227" t="n">
        <v>0</v>
      </c>
      <c r="U140" s="227" t="n">
        <v>-0.32</v>
      </c>
      <c r="V140" s="227" t="n">
        <v>0</v>
      </c>
      <c r="W140" s="227" t="n">
        <v>-0.573</v>
      </c>
      <c r="X140" s="227" t="n">
        <v>0.005072487373423</v>
      </c>
      <c r="Y140" s="227" t="n">
        <v>0.308</v>
      </c>
      <c r="Z140" s="227" t="n">
        <v>0.06</v>
      </c>
      <c r="AA140" s="227" t="n">
        <v>0.173</v>
      </c>
      <c r="AB140" s="227" t="n">
        <v>0</v>
      </c>
      <c r="AC140" s="227" t="n">
        <v>0.03</v>
      </c>
      <c r="AD140" s="226" t="n">
        <v>0.35</v>
      </c>
      <c r="AE140" s="227" t="n">
        <v>0</v>
      </c>
      <c r="AF140" s="227" t="n">
        <v>0.17</v>
      </c>
      <c r="AG140" s="227" t="n">
        <v>0.57</v>
      </c>
      <c r="AH140" s="227" t="n">
        <v>0</v>
      </c>
      <c r="AI140" s="227" t="n">
        <v>0.37</v>
      </c>
      <c r="AJ140" s="227" t="n">
        <v>0</v>
      </c>
    </row>
    <row r="141" customFormat="false" ht="12.75" hidden="false" customHeight="false" outlineLevel="0" collapsed="false">
      <c r="D141" s="226" t="n">
        <v>41275</v>
      </c>
      <c r="E141" s="227" t="n">
        <v>0.0507997206963262</v>
      </c>
      <c r="F141" s="227" t="n">
        <v>5.0465</v>
      </c>
      <c r="G141" s="227" t="n">
        <v>0.17</v>
      </c>
      <c r="H141" s="227" t="n">
        <v>-0.13</v>
      </c>
      <c r="I141" s="227" t="n">
        <v>0.005</v>
      </c>
      <c r="J141" s="227" t="n">
        <v>0.17</v>
      </c>
      <c r="K141" s="227" t="n">
        <v>-0.07</v>
      </c>
      <c r="L141" s="227" t="n">
        <v>0.005</v>
      </c>
      <c r="M141" s="227" t="n">
        <v>0.17</v>
      </c>
      <c r="N141" s="227" t="n">
        <v>-0.24</v>
      </c>
      <c r="O141" s="227" t="n">
        <v>0</v>
      </c>
      <c r="P141" s="227" t="n">
        <v>0.17</v>
      </c>
      <c r="Q141" s="227" t="n">
        <v>0</v>
      </c>
      <c r="R141" s="227" t="n">
        <v>0</v>
      </c>
      <c r="S141" s="227" t="n">
        <v>0</v>
      </c>
      <c r="T141" s="227" t="n">
        <v>0</v>
      </c>
      <c r="U141" s="227" t="n">
        <v>-0.32</v>
      </c>
      <c r="V141" s="227" t="n">
        <v>0</v>
      </c>
      <c r="W141" s="227" t="n">
        <v>-0.573</v>
      </c>
      <c r="X141" s="227" t="n">
        <v>0.005070043139046</v>
      </c>
      <c r="Y141" s="227" t="n">
        <v>0.378</v>
      </c>
      <c r="Z141" s="227" t="n">
        <v>0.06</v>
      </c>
      <c r="AA141" s="227" t="n">
        <v>0.173</v>
      </c>
      <c r="AB141" s="227" t="n">
        <v>0</v>
      </c>
      <c r="AC141" s="227" t="n">
        <v>0.03</v>
      </c>
      <c r="AD141" s="226" t="n">
        <v>0.35</v>
      </c>
      <c r="AE141" s="227" t="n">
        <v>0</v>
      </c>
      <c r="AF141" s="227" t="n">
        <v>0.17</v>
      </c>
      <c r="AG141" s="227" t="n">
        <v>0.57</v>
      </c>
      <c r="AH141" s="227" t="n">
        <v>0</v>
      </c>
      <c r="AI141" s="227" t="n">
        <v>0.37</v>
      </c>
      <c r="AJ141" s="227" t="n">
        <v>0</v>
      </c>
    </row>
    <row r="142" customFormat="false" ht="12.75" hidden="false" customHeight="false" outlineLevel="0" collapsed="false">
      <c r="D142" s="226" t="n">
        <v>41306</v>
      </c>
      <c r="E142" s="227" t="n">
        <v>0.050855778088474</v>
      </c>
      <c r="F142" s="227" t="n">
        <v>4.9585</v>
      </c>
      <c r="G142" s="227" t="n">
        <v>0.17</v>
      </c>
      <c r="H142" s="227" t="n">
        <v>-0.13</v>
      </c>
      <c r="I142" s="227" t="n">
        <v>0.005</v>
      </c>
      <c r="J142" s="227" t="n">
        <v>0.17</v>
      </c>
      <c r="K142" s="227" t="n">
        <v>-0.07</v>
      </c>
      <c r="L142" s="227" t="n">
        <v>0.005</v>
      </c>
      <c r="M142" s="227" t="n">
        <v>0.17</v>
      </c>
      <c r="N142" s="227" t="n">
        <v>-0.24</v>
      </c>
      <c r="O142" s="227" t="n">
        <v>0</v>
      </c>
      <c r="P142" s="227" t="n">
        <v>0.17</v>
      </c>
      <c r="Q142" s="227" t="n">
        <v>0</v>
      </c>
      <c r="R142" s="227" t="n">
        <v>0</v>
      </c>
      <c r="S142" s="227" t="n">
        <v>0</v>
      </c>
      <c r="T142" s="227" t="n">
        <v>0</v>
      </c>
      <c r="U142" s="227" t="n">
        <v>-0.32</v>
      </c>
      <c r="V142" s="227" t="n">
        <v>0</v>
      </c>
      <c r="W142" s="227" t="n">
        <v>-0.573</v>
      </c>
      <c r="X142" s="227" t="n">
        <v>0.0050675880627757</v>
      </c>
      <c r="Y142" s="227" t="n">
        <v>0.248</v>
      </c>
      <c r="Z142" s="227" t="n">
        <v>0.06</v>
      </c>
      <c r="AA142" s="227" t="n">
        <v>0.173</v>
      </c>
      <c r="AB142" s="227" t="n">
        <v>0</v>
      </c>
      <c r="AC142" s="227" t="n">
        <v>0.03</v>
      </c>
      <c r="AD142" s="226" t="n">
        <v>0.35</v>
      </c>
      <c r="AE142" s="227" t="n">
        <v>0</v>
      </c>
      <c r="AF142" s="227" t="n">
        <v>0.17</v>
      </c>
      <c r="AG142" s="227" t="n">
        <v>0.57</v>
      </c>
      <c r="AH142" s="227" t="n">
        <v>0</v>
      </c>
      <c r="AI142" s="227" t="n">
        <v>0.37</v>
      </c>
      <c r="AJ142" s="227" t="n">
        <v>0</v>
      </c>
    </row>
    <row r="143" customFormat="false" ht="12.75" hidden="false" customHeight="false" outlineLevel="0" collapsed="false">
      <c r="D143" s="226" t="n">
        <v>41334</v>
      </c>
      <c r="E143" s="227" t="n">
        <v>0.0509064105726056</v>
      </c>
      <c r="F143" s="227" t="n">
        <v>4.8195</v>
      </c>
      <c r="G143" s="227" t="n">
        <v>0.17</v>
      </c>
      <c r="H143" s="227" t="n">
        <v>-0.13</v>
      </c>
      <c r="I143" s="227" t="n">
        <v>0.005</v>
      </c>
      <c r="J143" s="227" t="n">
        <v>0.17</v>
      </c>
      <c r="K143" s="227" t="n">
        <v>-0.07</v>
      </c>
      <c r="L143" s="227" t="n">
        <v>0.005</v>
      </c>
      <c r="M143" s="227" t="n">
        <v>0.17</v>
      </c>
      <c r="N143" s="227" t="n">
        <v>-0.24</v>
      </c>
      <c r="O143" s="227" t="n">
        <v>0</v>
      </c>
      <c r="P143" s="227" t="n">
        <v>0.17</v>
      </c>
      <c r="Q143" s="227" t="n">
        <v>0</v>
      </c>
      <c r="R143" s="227" t="n">
        <v>0</v>
      </c>
      <c r="S143" s="227" t="n">
        <v>0</v>
      </c>
      <c r="T143" s="227" t="n">
        <v>0</v>
      </c>
      <c r="U143" s="227" t="n">
        <v>-0.32</v>
      </c>
      <c r="V143" s="227" t="n">
        <v>0</v>
      </c>
      <c r="W143" s="227" t="n">
        <v>-0.573</v>
      </c>
      <c r="X143" s="227" t="n">
        <v>0.0050653612706674</v>
      </c>
      <c r="Y143" s="227" t="n">
        <v>0.068</v>
      </c>
      <c r="Z143" s="227" t="n">
        <v>0.06</v>
      </c>
      <c r="AA143" s="227" t="n">
        <v>0.173</v>
      </c>
      <c r="AB143" s="227" t="n">
        <v>0</v>
      </c>
      <c r="AC143" s="227" t="n">
        <v>0.03</v>
      </c>
      <c r="AD143" s="226" t="n">
        <v>0.35</v>
      </c>
      <c r="AE143" s="227" t="n">
        <v>0</v>
      </c>
      <c r="AF143" s="227" t="n">
        <v>0.17</v>
      </c>
      <c r="AG143" s="227" t="n">
        <v>0.57</v>
      </c>
      <c r="AH143" s="227" t="n">
        <v>0</v>
      </c>
      <c r="AI143" s="227" t="n">
        <v>0.37</v>
      </c>
      <c r="AJ143" s="227" t="n">
        <v>0</v>
      </c>
    </row>
    <row r="144" customFormat="false" ht="12.75" hidden="false" customHeight="false" outlineLevel="0" collapsed="false">
      <c r="D144" s="226" t="n">
        <v>41365</v>
      </c>
      <c r="E144" s="227" t="n">
        <v>0.0509624679667491</v>
      </c>
      <c r="F144" s="227" t="n">
        <v>4.6655</v>
      </c>
      <c r="G144" s="227" t="n">
        <v>0.17</v>
      </c>
      <c r="H144" s="227" t="n">
        <v>-0.2</v>
      </c>
      <c r="I144" s="227" t="n">
        <v>0.0025</v>
      </c>
      <c r="J144" s="227" t="n">
        <v>0.17</v>
      </c>
      <c r="K144" s="227" t="n">
        <v>-0.07</v>
      </c>
      <c r="L144" s="227" t="n">
        <v>0.005</v>
      </c>
      <c r="M144" s="227" t="n">
        <v>0.17</v>
      </c>
      <c r="N144" s="227" t="n">
        <v>-0.32</v>
      </c>
      <c r="O144" s="227" t="n">
        <v>0</v>
      </c>
      <c r="P144" s="227" t="n">
        <v>0.17</v>
      </c>
      <c r="Q144" s="227" t="n">
        <v>0</v>
      </c>
      <c r="R144" s="227" t="n">
        <v>0</v>
      </c>
      <c r="S144" s="227" t="n">
        <v>0</v>
      </c>
      <c r="T144" s="227" t="n">
        <v>0</v>
      </c>
      <c r="U144" s="227" t="n">
        <v>-0.4</v>
      </c>
      <c r="V144" s="227" t="n">
        <v>0</v>
      </c>
      <c r="W144" s="227" t="n">
        <v>-0.673</v>
      </c>
      <c r="X144" s="227" t="n">
        <v>0.0015821517530069</v>
      </c>
      <c r="Y144" s="227" t="n">
        <v>-0.25</v>
      </c>
      <c r="Z144" s="227" t="n">
        <v>0.02</v>
      </c>
      <c r="AA144" s="227" t="n">
        <v>0.173</v>
      </c>
      <c r="AB144" s="227" t="n">
        <v>0</v>
      </c>
      <c r="AC144" s="227" t="n">
        <v>0.03</v>
      </c>
      <c r="AD144" s="226" t="n">
        <v>0.43</v>
      </c>
      <c r="AE144" s="227" t="n">
        <v>0</v>
      </c>
      <c r="AF144" s="227" t="n">
        <v>0.17</v>
      </c>
      <c r="AG144" s="227" t="n">
        <v>0.44</v>
      </c>
      <c r="AH144" s="227" t="n">
        <v>0</v>
      </c>
      <c r="AI144" s="227" t="n">
        <v>0.24</v>
      </c>
      <c r="AJ144" s="227" t="n">
        <v>0</v>
      </c>
    </row>
    <row r="145" customFormat="false" ht="12.75" hidden="false" customHeight="false" outlineLevel="0" collapsed="false">
      <c r="D145" s="226" t="n">
        <v>41395</v>
      </c>
      <c r="E145" s="227" t="n">
        <v>0.0510167170588547</v>
      </c>
      <c r="F145" s="227" t="n">
        <v>4.6705</v>
      </c>
      <c r="G145" s="227" t="n">
        <v>0.17</v>
      </c>
      <c r="H145" s="227" t="n">
        <v>-0.2</v>
      </c>
      <c r="I145" s="227" t="n">
        <v>0.0025</v>
      </c>
      <c r="J145" s="227" t="n">
        <v>0.17</v>
      </c>
      <c r="K145" s="227" t="n">
        <v>-0.07</v>
      </c>
      <c r="L145" s="227" t="n">
        <v>0.005</v>
      </c>
      <c r="M145" s="227" t="n">
        <v>0.17</v>
      </c>
      <c r="N145" s="227" t="n">
        <v>-0.32</v>
      </c>
      <c r="O145" s="227" t="n">
        <v>0</v>
      </c>
      <c r="P145" s="227" t="n">
        <v>0.17</v>
      </c>
      <c r="Q145" s="227" t="n">
        <v>0</v>
      </c>
      <c r="R145" s="227" t="n">
        <v>0</v>
      </c>
      <c r="S145" s="227" t="n">
        <v>0</v>
      </c>
      <c r="T145" s="227" t="n">
        <v>0</v>
      </c>
      <c r="U145" s="227" t="n">
        <v>-0.4</v>
      </c>
      <c r="V145" s="227" t="n">
        <v>0</v>
      </c>
      <c r="W145" s="227" t="n">
        <v>-0.673</v>
      </c>
      <c r="X145" s="227" t="n">
        <v>0.0015813998548252</v>
      </c>
      <c r="Y145" s="227" t="n">
        <v>-0.1</v>
      </c>
      <c r="Z145" s="227" t="n">
        <v>0.02</v>
      </c>
      <c r="AA145" s="227" t="n">
        <v>0.173</v>
      </c>
      <c r="AB145" s="227" t="n">
        <v>0</v>
      </c>
      <c r="AC145" s="227" t="n">
        <v>0.03</v>
      </c>
      <c r="AD145" s="226" t="n">
        <v>0.43</v>
      </c>
      <c r="AE145" s="227" t="n">
        <v>0</v>
      </c>
      <c r="AF145" s="227" t="n">
        <v>0.17</v>
      </c>
      <c r="AG145" s="227" t="n">
        <v>0.44</v>
      </c>
      <c r="AH145" s="227" t="n">
        <v>0</v>
      </c>
      <c r="AI145" s="227" t="n">
        <v>0.24</v>
      </c>
      <c r="AJ145" s="227" t="n">
        <v>0</v>
      </c>
    </row>
    <row r="146" customFormat="false" ht="12.75" hidden="false" customHeight="false" outlineLevel="0" collapsed="false">
      <c r="D146" s="226" t="n">
        <v>41426</v>
      </c>
      <c r="E146" s="227" t="n">
        <v>0.0510727744550619</v>
      </c>
      <c r="F146" s="227" t="n">
        <v>4.7085</v>
      </c>
      <c r="G146" s="227" t="n">
        <v>0.17</v>
      </c>
      <c r="H146" s="227" t="n">
        <v>-0.2</v>
      </c>
      <c r="I146" s="227" t="n">
        <v>0.0025</v>
      </c>
      <c r="J146" s="227" t="n">
        <v>0.17</v>
      </c>
      <c r="K146" s="227" t="n">
        <v>-0.07</v>
      </c>
      <c r="L146" s="227" t="n">
        <v>0.005</v>
      </c>
      <c r="M146" s="227" t="n">
        <v>0.17</v>
      </c>
      <c r="N146" s="227" t="n">
        <v>-0.32</v>
      </c>
      <c r="O146" s="227" t="n">
        <v>0</v>
      </c>
      <c r="P146" s="227" t="n">
        <v>0.17</v>
      </c>
      <c r="Q146" s="227" t="n">
        <v>0</v>
      </c>
      <c r="R146" s="227" t="n">
        <v>0</v>
      </c>
      <c r="S146" s="227" t="n">
        <v>0</v>
      </c>
      <c r="T146" s="227" t="n">
        <v>0</v>
      </c>
      <c r="U146" s="227" t="n">
        <v>-0.4</v>
      </c>
      <c r="V146" s="227" t="n">
        <v>0</v>
      </c>
      <c r="W146" s="227" t="n">
        <v>-0.673</v>
      </c>
      <c r="X146" s="227" t="n">
        <v>0.0015806195815273</v>
      </c>
      <c r="Y146" s="227" t="n">
        <v>-0.1</v>
      </c>
      <c r="Z146" s="227" t="n">
        <v>0.02</v>
      </c>
      <c r="AA146" s="227" t="n">
        <v>0.173</v>
      </c>
      <c r="AB146" s="227" t="n">
        <v>0</v>
      </c>
      <c r="AC146" s="227" t="n">
        <v>0.03</v>
      </c>
      <c r="AD146" s="226" t="n">
        <v>0.43</v>
      </c>
      <c r="AE146" s="227" t="n">
        <v>0</v>
      </c>
      <c r="AF146" s="227" t="n">
        <v>0.17</v>
      </c>
      <c r="AG146" s="227" t="n">
        <v>0.44</v>
      </c>
      <c r="AH146" s="227" t="n">
        <v>0</v>
      </c>
      <c r="AI146" s="227" t="n">
        <v>0.24</v>
      </c>
      <c r="AJ146" s="227" t="n">
        <v>0</v>
      </c>
    </row>
    <row r="147" customFormat="false" ht="12.75" hidden="false" customHeight="false" outlineLevel="0" collapsed="false">
      <c r="D147" s="226" t="n">
        <v>41456</v>
      </c>
      <c r="E147" s="227" t="n">
        <v>0.0511270235491645</v>
      </c>
      <c r="F147" s="227" t="n">
        <v>4.7535</v>
      </c>
      <c r="G147" s="227" t="n">
        <v>0.17</v>
      </c>
      <c r="H147" s="227" t="n">
        <v>-0.2</v>
      </c>
      <c r="I147" s="227" t="n">
        <v>0.0025</v>
      </c>
      <c r="J147" s="227" t="n">
        <v>0.17</v>
      </c>
      <c r="K147" s="227" t="n">
        <v>-0.07</v>
      </c>
      <c r="L147" s="227" t="n">
        <v>0.005</v>
      </c>
      <c r="M147" s="227" t="n">
        <v>0.17</v>
      </c>
      <c r="N147" s="227" t="n">
        <v>-0.32</v>
      </c>
      <c r="O147" s="227" t="n">
        <v>0</v>
      </c>
      <c r="P147" s="227" t="n">
        <v>0.17</v>
      </c>
      <c r="Q147" s="227" t="n">
        <v>0</v>
      </c>
      <c r="R147" s="227" t="n">
        <v>0</v>
      </c>
      <c r="S147" s="227" t="n">
        <v>0</v>
      </c>
      <c r="T147" s="227" t="n">
        <v>0</v>
      </c>
      <c r="U147" s="227" t="n">
        <v>-0.4</v>
      </c>
      <c r="V147" s="227" t="n">
        <v>0</v>
      </c>
      <c r="W147" s="227" t="n">
        <v>-0.673</v>
      </c>
      <c r="X147" s="227" t="n">
        <v>0.0015798612786423</v>
      </c>
      <c r="Y147" s="227" t="n">
        <v>-0.1</v>
      </c>
      <c r="Z147" s="227" t="n">
        <v>0.02</v>
      </c>
      <c r="AA147" s="227" t="n">
        <v>0.173</v>
      </c>
      <c r="AB147" s="227" t="n">
        <v>0</v>
      </c>
      <c r="AC147" s="227" t="n">
        <v>0.03</v>
      </c>
      <c r="AD147" s="226" t="n">
        <v>0.43</v>
      </c>
      <c r="AE147" s="227" t="n">
        <v>0</v>
      </c>
      <c r="AF147" s="227" t="n">
        <v>0.17</v>
      </c>
      <c r="AG147" s="227" t="n">
        <v>0.44</v>
      </c>
      <c r="AH147" s="227" t="n">
        <v>0</v>
      </c>
      <c r="AI147" s="227" t="n">
        <v>0.24</v>
      </c>
      <c r="AJ147" s="227" t="n">
        <v>0</v>
      </c>
    </row>
    <row r="148" customFormat="false" ht="12.75" hidden="false" customHeight="false" outlineLevel="0" collapsed="false">
      <c r="D148" s="226" t="n">
        <v>41487</v>
      </c>
      <c r="E148" s="227" t="n">
        <v>0.051183080947435</v>
      </c>
      <c r="F148" s="227" t="n">
        <v>4.7915</v>
      </c>
      <c r="G148" s="227" t="n">
        <v>0.17</v>
      </c>
      <c r="H148" s="227" t="n">
        <v>-0.2</v>
      </c>
      <c r="I148" s="227" t="n">
        <v>0.0025</v>
      </c>
      <c r="J148" s="227" t="n">
        <v>0.17</v>
      </c>
      <c r="K148" s="227" t="n">
        <v>-0.07</v>
      </c>
      <c r="L148" s="227" t="n">
        <v>0.005</v>
      </c>
      <c r="M148" s="227" t="n">
        <v>0.17</v>
      </c>
      <c r="N148" s="227" t="n">
        <v>-0.32</v>
      </c>
      <c r="O148" s="227" t="n">
        <v>0</v>
      </c>
      <c r="P148" s="227" t="n">
        <v>0.17</v>
      </c>
      <c r="Q148" s="227" t="n">
        <v>0</v>
      </c>
      <c r="R148" s="227" t="n">
        <v>0</v>
      </c>
      <c r="S148" s="227" t="n">
        <v>0</v>
      </c>
      <c r="T148" s="227" t="n">
        <v>0</v>
      </c>
      <c r="U148" s="227" t="n">
        <v>-0.4</v>
      </c>
      <c r="V148" s="227" t="n">
        <v>0</v>
      </c>
      <c r="W148" s="227" t="n">
        <v>-0.673</v>
      </c>
      <c r="X148" s="227" t="n">
        <v>0.0015790743982181</v>
      </c>
      <c r="Y148" s="227" t="n">
        <v>-0.1</v>
      </c>
      <c r="Z148" s="227" t="n">
        <v>0.02</v>
      </c>
      <c r="AA148" s="227" t="n">
        <v>0.173</v>
      </c>
      <c r="AB148" s="227" t="n">
        <v>0</v>
      </c>
      <c r="AC148" s="227" t="n">
        <v>0.03</v>
      </c>
      <c r="AD148" s="226" t="n">
        <v>0.43</v>
      </c>
      <c r="AE148" s="227" t="n">
        <v>0</v>
      </c>
      <c r="AF148" s="227" t="n">
        <v>0.17</v>
      </c>
      <c r="AG148" s="227" t="n">
        <v>0.44</v>
      </c>
      <c r="AH148" s="227" t="n">
        <v>0</v>
      </c>
      <c r="AI148" s="227" t="n">
        <v>0.24</v>
      </c>
      <c r="AJ148" s="227" t="n">
        <v>0</v>
      </c>
    </row>
    <row r="149" customFormat="false" ht="12.75" hidden="false" customHeight="false" outlineLevel="0" collapsed="false">
      <c r="D149" s="226" t="n">
        <v>41518</v>
      </c>
      <c r="E149" s="227" t="n">
        <v>0.0512391383467548</v>
      </c>
      <c r="F149" s="227" t="n">
        <v>4.7855</v>
      </c>
      <c r="G149" s="227" t="n">
        <v>0.17</v>
      </c>
      <c r="H149" s="227" t="n">
        <v>-0.2</v>
      </c>
      <c r="I149" s="227" t="n">
        <v>0.0025</v>
      </c>
      <c r="J149" s="227" t="n">
        <v>0.17</v>
      </c>
      <c r="K149" s="227" t="n">
        <v>-0.07</v>
      </c>
      <c r="L149" s="227" t="n">
        <v>0.005</v>
      </c>
      <c r="M149" s="227" t="n">
        <v>0.17</v>
      </c>
      <c r="N149" s="227" t="n">
        <v>-0.32</v>
      </c>
      <c r="O149" s="227" t="n">
        <v>0</v>
      </c>
      <c r="P149" s="227" t="n">
        <v>0.17</v>
      </c>
      <c r="Q149" s="227" t="n">
        <v>0</v>
      </c>
      <c r="R149" s="227" t="n">
        <v>0</v>
      </c>
      <c r="S149" s="227" t="n">
        <v>0</v>
      </c>
      <c r="T149" s="227" t="n">
        <v>0</v>
      </c>
      <c r="U149" s="227" t="n">
        <v>-0.4</v>
      </c>
      <c r="V149" s="227" t="n">
        <v>0</v>
      </c>
      <c r="W149" s="227" t="n">
        <v>-0.673</v>
      </c>
      <c r="X149" s="227" t="n">
        <v>0.0015782841685915</v>
      </c>
      <c r="Y149" s="227" t="n">
        <v>-0.1</v>
      </c>
      <c r="Z149" s="227" t="n">
        <v>0.02</v>
      </c>
      <c r="AA149" s="227" t="n">
        <v>0.173</v>
      </c>
      <c r="AB149" s="227" t="n">
        <v>0</v>
      </c>
      <c r="AC149" s="227" t="n">
        <v>0.03</v>
      </c>
      <c r="AD149" s="226" t="n">
        <v>0.43</v>
      </c>
      <c r="AE149" s="227" t="n">
        <v>0</v>
      </c>
      <c r="AF149" s="227" t="n">
        <v>0.17</v>
      </c>
      <c r="AG149" s="227" t="n">
        <v>0.44</v>
      </c>
      <c r="AH149" s="227" t="n">
        <v>0</v>
      </c>
      <c r="AI149" s="227" t="n">
        <v>0.24</v>
      </c>
      <c r="AJ149" s="227" t="n">
        <v>0</v>
      </c>
    </row>
    <row r="150" customFormat="false" ht="12.75" hidden="false" customHeight="false" outlineLevel="0" collapsed="false">
      <c r="D150" s="226" t="n">
        <v>41548</v>
      </c>
      <c r="E150" s="227" t="n">
        <v>0.0512933874438684</v>
      </c>
      <c r="F150" s="227" t="n">
        <v>4.7855</v>
      </c>
      <c r="G150" s="227" t="n">
        <v>0.17</v>
      </c>
      <c r="H150" s="227" t="n">
        <v>-0.2</v>
      </c>
      <c r="I150" s="227" t="n">
        <v>0.0025</v>
      </c>
      <c r="J150" s="227" t="n">
        <v>0.17</v>
      </c>
      <c r="K150" s="227" t="n">
        <v>-0.07</v>
      </c>
      <c r="L150" s="227" t="n">
        <v>0.005</v>
      </c>
      <c r="M150" s="227" t="n">
        <v>0.17</v>
      </c>
      <c r="N150" s="227" t="n">
        <v>-0.32</v>
      </c>
      <c r="O150" s="227" t="n">
        <v>0</v>
      </c>
      <c r="P150" s="227" t="n">
        <v>0.17</v>
      </c>
      <c r="Q150" s="227" t="n">
        <v>0</v>
      </c>
      <c r="R150" s="227" t="n">
        <v>0</v>
      </c>
      <c r="S150" s="227" t="n">
        <v>0</v>
      </c>
      <c r="T150" s="227" t="n">
        <v>0</v>
      </c>
      <c r="U150" s="227" t="n">
        <v>-0.4</v>
      </c>
      <c r="V150" s="227" t="n">
        <v>0</v>
      </c>
      <c r="W150" s="227" t="n">
        <v>-0.673</v>
      </c>
      <c r="X150" s="227" t="n">
        <v>0.0015775162467882</v>
      </c>
      <c r="Y150" s="227" t="n">
        <v>-0.1</v>
      </c>
      <c r="Z150" s="227" t="n">
        <v>0.02</v>
      </c>
      <c r="AA150" s="227" t="n">
        <v>0.173</v>
      </c>
      <c r="AB150" s="227" t="n">
        <v>0</v>
      </c>
      <c r="AC150" s="227" t="n">
        <v>0.03</v>
      </c>
      <c r="AD150" s="226" t="n">
        <v>0.43</v>
      </c>
      <c r="AE150" s="227" t="n">
        <v>0</v>
      </c>
      <c r="AF150" s="227" t="n">
        <v>0.17</v>
      </c>
      <c r="AG150" s="227" t="n">
        <v>0.44</v>
      </c>
      <c r="AH150" s="227" t="n">
        <v>0</v>
      </c>
      <c r="AI150" s="227" t="n">
        <v>0.24</v>
      </c>
      <c r="AJ150" s="227" t="n">
        <v>0</v>
      </c>
    </row>
    <row r="151" customFormat="false" ht="12.75" hidden="false" customHeight="false" outlineLevel="0" collapsed="false">
      <c r="D151" s="226" t="n">
        <v>41579</v>
      </c>
      <c r="E151" s="227" t="n">
        <v>0.0513494448452514</v>
      </c>
      <c r="F151" s="227" t="n">
        <v>4.9555</v>
      </c>
      <c r="G151" s="227" t="n">
        <v>0.17</v>
      </c>
      <c r="H151" s="227" t="n">
        <v>-0.13</v>
      </c>
      <c r="I151" s="227" t="n">
        <v>0.005</v>
      </c>
      <c r="J151" s="227" t="n">
        <v>0.17</v>
      </c>
      <c r="K151" s="227" t="n">
        <v>-0.07</v>
      </c>
      <c r="L151" s="227" t="n">
        <v>0.005</v>
      </c>
      <c r="M151" s="227" t="n">
        <v>0.17</v>
      </c>
      <c r="N151" s="227" t="n">
        <v>-0.24</v>
      </c>
      <c r="O151" s="227" t="n">
        <v>0</v>
      </c>
      <c r="P151" s="227" t="n">
        <v>0.17</v>
      </c>
      <c r="Q151" s="227" t="n">
        <v>0</v>
      </c>
      <c r="R151" s="227" t="n">
        <v>0</v>
      </c>
      <c r="S151" s="227" t="n">
        <v>0</v>
      </c>
      <c r="T151" s="227" t="n">
        <v>0</v>
      </c>
      <c r="U151" s="227" t="n">
        <v>-0.32</v>
      </c>
      <c r="V151" s="227" t="n">
        <v>0</v>
      </c>
      <c r="W151" s="227" t="n">
        <v>-0.613</v>
      </c>
      <c r="X151" s="227" t="n">
        <v>0.0050455022196922</v>
      </c>
      <c r="Y151" s="227" t="n">
        <v>0.248</v>
      </c>
      <c r="Z151" s="227" t="n">
        <v>0.06</v>
      </c>
      <c r="AA151" s="227" t="n">
        <v>0.173</v>
      </c>
      <c r="AB151" s="227" t="n">
        <v>0</v>
      </c>
      <c r="AC151" s="227" t="n">
        <v>0.03</v>
      </c>
      <c r="AD151" s="226" t="n">
        <v>0.35</v>
      </c>
      <c r="AE151" s="227" t="n">
        <v>0</v>
      </c>
      <c r="AF151" s="227" t="n">
        <v>0.17</v>
      </c>
      <c r="AG151" s="227" t="n">
        <v>0.5</v>
      </c>
      <c r="AH151" s="227" t="n">
        <v>0</v>
      </c>
      <c r="AI151" s="227" t="n">
        <v>0.3</v>
      </c>
      <c r="AJ151" s="227" t="n">
        <v>0</v>
      </c>
    </row>
    <row r="152" customFormat="false" ht="12.75" hidden="false" customHeight="false" outlineLevel="0" collapsed="false">
      <c r="D152" s="226" t="n">
        <v>41609</v>
      </c>
      <c r="E152" s="227" t="n">
        <v>0.0514036939443621</v>
      </c>
      <c r="F152" s="227" t="n">
        <v>5.0865</v>
      </c>
      <c r="G152" s="227" t="n">
        <v>0.17</v>
      </c>
      <c r="H152" s="227" t="n">
        <v>-0.13</v>
      </c>
      <c r="I152" s="227" t="n">
        <v>0.005</v>
      </c>
      <c r="J152" s="227" t="n">
        <v>0.17</v>
      </c>
      <c r="K152" s="227" t="n">
        <v>-0.07</v>
      </c>
      <c r="L152" s="227" t="n">
        <v>0.005</v>
      </c>
      <c r="M152" s="227" t="n">
        <v>0.17</v>
      </c>
      <c r="N152" s="227" t="n">
        <v>-0.24</v>
      </c>
      <c r="O152" s="227" t="n">
        <v>0</v>
      </c>
      <c r="P152" s="227" t="n">
        <v>0.17</v>
      </c>
      <c r="Q152" s="227" t="n">
        <v>0</v>
      </c>
      <c r="R152" s="227" t="n">
        <v>0</v>
      </c>
      <c r="S152" s="227" t="n">
        <v>0</v>
      </c>
      <c r="T152" s="227" t="n">
        <v>0</v>
      </c>
      <c r="U152" s="227" t="n">
        <v>-0.32</v>
      </c>
      <c r="V152" s="227" t="n">
        <v>0</v>
      </c>
      <c r="W152" s="227" t="n">
        <v>-0.613</v>
      </c>
      <c r="X152" s="227" t="n">
        <v>0.0050430245480069</v>
      </c>
      <c r="Y152" s="227" t="n">
        <v>0.308</v>
      </c>
      <c r="Z152" s="227" t="n">
        <v>0.06</v>
      </c>
      <c r="AA152" s="227" t="n">
        <v>0.173</v>
      </c>
      <c r="AB152" s="227" t="n">
        <v>0</v>
      </c>
      <c r="AC152" s="227" t="n">
        <v>0.03</v>
      </c>
      <c r="AD152" s="226" t="n">
        <v>0.35</v>
      </c>
      <c r="AE152" s="227" t="n">
        <v>0</v>
      </c>
      <c r="AF152" s="227" t="n">
        <v>0.17</v>
      </c>
      <c r="AG152" s="227" t="n">
        <v>0.57</v>
      </c>
      <c r="AH152" s="227" t="n">
        <v>0</v>
      </c>
      <c r="AI152" s="227" t="n">
        <v>0.37</v>
      </c>
      <c r="AJ152" s="227" t="n">
        <v>0</v>
      </c>
    </row>
    <row r="153" customFormat="false" ht="12.75" hidden="false" customHeight="false" outlineLevel="0" collapsed="false">
      <c r="D153" s="226" t="n">
        <v>41640</v>
      </c>
      <c r="E153" s="227" t="n">
        <v>0.0514597513478079</v>
      </c>
      <c r="F153" s="227" t="n">
        <v>5.159</v>
      </c>
      <c r="G153" s="227" t="n">
        <v>0.17</v>
      </c>
      <c r="H153" s="227" t="n">
        <v>-0.13</v>
      </c>
      <c r="I153" s="227" t="n">
        <v>0.005</v>
      </c>
      <c r="J153" s="227" t="n">
        <v>0.17</v>
      </c>
      <c r="K153" s="227" t="n">
        <v>-0.07</v>
      </c>
      <c r="L153" s="227" t="n">
        <v>0.005</v>
      </c>
      <c r="M153" s="227" t="n">
        <v>0.17</v>
      </c>
      <c r="N153" s="227" t="n">
        <v>-0.24</v>
      </c>
      <c r="O153" s="227" t="n">
        <v>0</v>
      </c>
      <c r="P153" s="227" t="n">
        <v>0.17</v>
      </c>
      <c r="Q153" s="227" t="n">
        <v>0</v>
      </c>
      <c r="R153" s="227" t="n">
        <v>0</v>
      </c>
      <c r="S153" s="227" t="n">
        <v>0</v>
      </c>
      <c r="T153" s="227" t="n">
        <v>0</v>
      </c>
      <c r="U153" s="227" t="n">
        <v>-0.32</v>
      </c>
      <c r="V153" s="227" t="n">
        <v>0</v>
      </c>
      <c r="W153" s="227" t="n">
        <v>-0.613</v>
      </c>
      <c r="X153" s="227" t="n">
        <v>0.005040453814702</v>
      </c>
      <c r="Y153" s="227" t="n">
        <v>0.378</v>
      </c>
      <c r="Z153" s="227" t="n">
        <v>0.06</v>
      </c>
      <c r="AA153" s="227" t="n">
        <v>0.173</v>
      </c>
      <c r="AB153" s="227" t="n">
        <v>0</v>
      </c>
      <c r="AC153" s="227" t="n">
        <v>0.03</v>
      </c>
      <c r="AD153" s="226" t="n">
        <v>0.35</v>
      </c>
      <c r="AE153" s="227" t="n">
        <v>0</v>
      </c>
      <c r="AF153" s="227" t="n">
        <v>0.17</v>
      </c>
      <c r="AG153" s="227" t="n">
        <v>0.57</v>
      </c>
      <c r="AH153" s="227" t="n">
        <v>0</v>
      </c>
      <c r="AI153" s="227" t="n">
        <v>0.37</v>
      </c>
      <c r="AJ153" s="227" t="n">
        <v>0</v>
      </c>
    </row>
    <row r="154" customFormat="false" ht="12.75" hidden="false" customHeight="false" outlineLevel="0" collapsed="false">
      <c r="D154" s="226" t="n">
        <v>41671</v>
      </c>
      <c r="E154" s="227" t="n">
        <v>0.0515158087523022</v>
      </c>
      <c r="F154" s="227" t="n">
        <v>5.071</v>
      </c>
      <c r="G154" s="227" t="n">
        <v>0.17</v>
      </c>
      <c r="H154" s="227" t="n">
        <v>-0.13</v>
      </c>
      <c r="I154" s="227" t="n">
        <v>0.005</v>
      </c>
      <c r="J154" s="227" t="n">
        <v>0.17</v>
      </c>
      <c r="K154" s="227" t="n">
        <v>-0.07</v>
      </c>
      <c r="L154" s="227" t="n">
        <v>0.005</v>
      </c>
      <c r="M154" s="227" t="n">
        <v>0.17</v>
      </c>
      <c r="N154" s="227" t="n">
        <v>-0.24</v>
      </c>
      <c r="O154" s="227" t="n">
        <v>0</v>
      </c>
      <c r="P154" s="227" t="n">
        <v>0.17</v>
      </c>
      <c r="Q154" s="227" t="n">
        <v>0</v>
      </c>
      <c r="R154" s="227" t="n">
        <v>0</v>
      </c>
      <c r="S154" s="227" t="n">
        <v>0</v>
      </c>
      <c r="T154" s="227" t="n">
        <v>0</v>
      </c>
      <c r="U154" s="227" t="n">
        <v>-0.32</v>
      </c>
      <c r="V154" s="227" t="n">
        <v>0</v>
      </c>
      <c r="W154" s="227" t="n">
        <v>-0.613</v>
      </c>
      <c r="X154" s="227" t="n">
        <v>0.0050378724556604</v>
      </c>
      <c r="Y154" s="227" t="n">
        <v>0.248</v>
      </c>
      <c r="Z154" s="227" t="n">
        <v>0.06</v>
      </c>
      <c r="AA154" s="227" t="n">
        <v>0.173</v>
      </c>
      <c r="AB154" s="227" t="n">
        <v>0</v>
      </c>
      <c r="AC154" s="227" t="n">
        <v>0.03</v>
      </c>
      <c r="AD154" s="226" t="n">
        <v>0.35</v>
      </c>
      <c r="AE154" s="227" t="n">
        <v>0</v>
      </c>
      <c r="AF154" s="227" t="n">
        <v>0.17</v>
      </c>
      <c r="AG154" s="227" t="n">
        <v>0.57</v>
      </c>
      <c r="AH154" s="227" t="n">
        <v>0</v>
      </c>
      <c r="AI154" s="227" t="n">
        <v>0.37</v>
      </c>
      <c r="AJ154" s="227" t="n">
        <v>0</v>
      </c>
    </row>
    <row r="155" customFormat="false" ht="12.75" hidden="false" customHeight="false" outlineLevel="0" collapsed="false">
      <c r="D155" s="226" t="n">
        <v>41699</v>
      </c>
      <c r="E155" s="227" t="n">
        <v>0.0515664412475854</v>
      </c>
      <c r="F155" s="227" t="n">
        <v>4.932</v>
      </c>
      <c r="G155" s="227" t="n">
        <v>0.17</v>
      </c>
      <c r="H155" s="227" t="n">
        <v>-0.13</v>
      </c>
      <c r="I155" s="227" t="n">
        <v>0.005</v>
      </c>
      <c r="J155" s="227" t="n">
        <v>0.17</v>
      </c>
      <c r="K155" s="227" t="n">
        <v>-0.07</v>
      </c>
      <c r="L155" s="227" t="n">
        <v>0.005</v>
      </c>
      <c r="M155" s="227" t="n">
        <v>0.17</v>
      </c>
      <c r="N155" s="227" t="n">
        <v>-0.24</v>
      </c>
      <c r="O155" s="227" t="n">
        <v>0</v>
      </c>
      <c r="P155" s="227" t="n">
        <v>0.17</v>
      </c>
      <c r="Q155" s="227" t="n">
        <v>0</v>
      </c>
      <c r="R155" s="227" t="n">
        <v>0</v>
      </c>
      <c r="S155" s="227" t="n">
        <v>0</v>
      </c>
      <c r="T155" s="227" t="n">
        <v>0</v>
      </c>
      <c r="U155" s="227" t="n">
        <v>-0.32</v>
      </c>
      <c r="V155" s="227" t="n">
        <v>0</v>
      </c>
      <c r="W155" s="227" t="n">
        <v>-0.613</v>
      </c>
      <c r="X155" s="227" t="n">
        <v>0.0050355317881253</v>
      </c>
      <c r="Y155" s="227" t="n">
        <v>0.068</v>
      </c>
      <c r="Z155" s="227" t="n">
        <v>0.06</v>
      </c>
      <c r="AA155" s="227" t="n">
        <v>0.173</v>
      </c>
      <c r="AB155" s="227" t="n">
        <v>0</v>
      </c>
      <c r="AC155" s="227" t="n">
        <v>0.03</v>
      </c>
      <c r="AD155" s="226" t="n">
        <v>0.35</v>
      </c>
      <c r="AE155" s="227" t="n">
        <v>0</v>
      </c>
      <c r="AF155" s="227" t="n">
        <v>0.17</v>
      </c>
      <c r="AG155" s="227" t="n">
        <v>0.57</v>
      </c>
      <c r="AH155" s="227" t="n">
        <v>0</v>
      </c>
      <c r="AI155" s="227" t="n">
        <v>0.37</v>
      </c>
      <c r="AJ155" s="227" t="n">
        <v>0</v>
      </c>
    </row>
    <row r="156" customFormat="false" ht="12.75" hidden="false" customHeight="false" outlineLevel="0" collapsed="false">
      <c r="D156" s="226" t="n">
        <v>41730</v>
      </c>
      <c r="E156" s="227" t="n">
        <v>0.051622498654075</v>
      </c>
      <c r="F156" s="227" t="n">
        <v>4.778</v>
      </c>
      <c r="G156" s="227" t="n">
        <v>0.17</v>
      </c>
      <c r="H156" s="227" t="n">
        <v>-0.2</v>
      </c>
      <c r="I156" s="227" t="n">
        <v>0.0025</v>
      </c>
      <c r="J156" s="227" t="n">
        <v>0.17</v>
      </c>
      <c r="K156" s="227" t="n">
        <v>-0.07</v>
      </c>
      <c r="L156" s="227" t="n">
        <v>0.005</v>
      </c>
      <c r="M156" s="227" t="n">
        <v>0.17</v>
      </c>
      <c r="N156" s="227" t="n">
        <v>-0.32</v>
      </c>
      <c r="O156" s="227" t="n">
        <v>0</v>
      </c>
      <c r="P156" s="227" t="n">
        <v>0.17</v>
      </c>
      <c r="Q156" s="227" t="n">
        <v>0</v>
      </c>
      <c r="R156" s="227" t="n">
        <v>0</v>
      </c>
      <c r="S156" s="227" t="n">
        <v>0</v>
      </c>
      <c r="T156" s="227" t="n">
        <v>0</v>
      </c>
      <c r="U156" s="227" t="n">
        <v>-0.4</v>
      </c>
      <c r="V156" s="227" t="n">
        <v>0</v>
      </c>
      <c r="W156" s="227" t="n">
        <v>-0.713</v>
      </c>
      <c r="X156" s="227" t="n">
        <v>0.0015727907055707</v>
      </c>
      <c r="Y156" s="227" t="n">
        <v>-0.25</v>
      </c>
      <c r="Z156" s="227" t="n">
        <v>0.02</v>
      </c>
      <c r="AA156" s="227" t="n">
        <v>0.173</v>
      </c>
      <c r="AB156" s="227" t="n">
        <v>0</v>
      </c>
      <c r="AC156" s="227" t="n">
        <v>0.03</v>
      </c>
      <c r="AD156" s="226" t="n">
        <v>0.43</v>
      </c>
      <c r="AE156" s="227" t="n">
        <v>0</v>
      </c>
      <c r="AF156" s="227" t="n">
        <v>0.17</v>
      </c>
      <c r="AG156" s="227" t="n">
        <v>0.44</v>
      </c>
      <c r="AH156" s="227" t="n">
        <v>0</v>
      </c>
      <c r="AI156" s="227" t="n">
        <v>0.24</v>
      </c>
      <c r="AJ156" s="227" t="n">
        <v>0</v>
      </c>
    </row>
    <row r="157" customFormat="false" ht="12.75" hidden="false" customHeight="false" outlineLevel="0" collapsed="false">
      <c r="D157" s="226" t="n">
        <v>41760</v>
      </c>
      <c r="E157" s="227" t="n">
        <v>0.0516767477581284</v>
      </c>
      <c r="F157" s="227" t="n">
        <v>4.783</v>
      </c>
      <c r="G157" s="227" t="n">
        <v>0.17</v>
      </c>
      <c r="H157" s="227" t="n">
        <v>-0.2</v>
      </c>
      <c r="I157" s="227" t="n">
        <v>0.0025</v>
      </c>
      <c r="J157" s="227" t="n">
        <v>0.17</v>
      </c>
      <c r="K157" s="227" t="n">
        <v>-0.07</v>
      </c>
      <c r="L157" s="227" t="n">
        <v>0.005</v>
      </c>
      <c r="M157" s="227" t="n">
        <v>0.17</v>
      </c>
      <c r="N157" s="227" t="n">
        <v>-0.32</v>
      </c>
      <c r="O157" s="227" t="n">
        <v>0</v>
      </c>
      <c r="P157" s="227" t="n">
        <v>0.17</v>
      </c>
      <c r="Q157" s="227" t="n">
        <v>0</v>
      </c>
      <c r="R157" s="227" t="n">
        <v>0</v>
      </c>
      <c r="S157" s="227" t="n">
        <v>0</v>
      </c>
      <c r="T157" s="227" t="n">
        <v>0</v>
      </c>
      <c r="U157" s="227" t="n">
        <v>-0.4</v>
      </c>
      <c r="V157" s="227" t="n">
        <v>0</v>
      </c>
      <c r="W157" s="227" t="n">
        <v>-0.713</v>
      </c>
      <c r="X157" s="227" t="n">
        <v>0.0015720008070659</v>
      </c>
      <c r="Y157" s="227" t="n">
        <v>-0.1</v>
      </c>
      <c r="Z157" s="227" t="n">
        <v>0.02</v>
      </c>
      <c r="AA157" s="227" t="n">
        <v>0.173</v>
      </c>
      <c r="AB157" s="227" t="n">
        <v>0</v>
      </c>
      <c r="AC157" s="227" t="n">
        <v>0.03</v>
      </c>
      <c r="AD157" s="226" t="n">
        <v>0.43</v>
      </c>
      <c r="AE157" s="227" t="n">
        <v>0</v>
      </c>
      <c r="AF157" s="227" t="n">
        <v>0.17</v>
      </c>
      <c r="AG157" s="227" t="n">
        <v>0.44</v>
      </c>
      <c r="AH157" s="227" t="n">
        <v>0</v>
      </c>
      <c r="AI157" s="227" t="n">
        <v>0.24</v>
      </c>
      <c r="AJ157" s="227" t="n">
        <v>0</v>
      </c>
    </row>
    <row r="158" customFormat="false" ht="12.75" hidden="false" customHeight="false" outlineLevel="0" collapsed="false">
      <c r="D158" s="226" t="n">
        <v>41791</v>
      </c>
      <c r="E158" s="227" t="n">
        <v>0.0517328051666808</v>
      </c>
      <c r="F158" s="227" t="n">
        <v>4.821</v>
      </c>
      <c r="G158" s="227" t="n">
        <v>0.17</v>
      </c>
      <c r="H158" s="227" t="n">
        <v>-0.2</v>
      </c>
      <c r="I158" s="227" t="n">
        <v>0.0025</v>
      </c>
      <c r="J158" s="227" t="n">
        <v>0.17</v>
      </c>
      <c r="K158" s="227" t="n">
        <v>-0.07</v>
      </c>
      <c r="L158" s="227" t="n">
        <v>0.005</v>
      </c>
      <c r="M158" s="227" t="n">
        <v>0.17</v>
      </c>
      <c r="N158" s="227" t="n">
        <v>-0.32</v>
      </c>
      <c r="O158" s="227" t="n">
        <v>0</v>
      </c>
      <c r="P158" s="227" t="n">
        <v>0.17</v>
      </c>
      <c r="Q158" s="227" t="n">
        <v>0</v>
      </c>
      <c r="R158" s="227" t="n">
        <v>0</v>
      </c>
      <c r="S158" s="227" t="n">
        <v>0</v>
      </c>
      <c r="T158" s="227" t="n">
        <v>0</v>
      </c>
      <c r="U158" s="227" t="n">
        <v>-0.4</v>
      </c>
      <c r="V158" s="227" t="n">
        <v>0</v>
      </c>
      <c r="W158" s="227" t="n">
        <v>-0.713</v>
      </c>
      <c r="X158" s="227" t="n">
        <v>0.0015711813341403</v>
      </c>
      <c r="Y158" s="227" t="n">
        <v>-0.1</v>
      </c>
      <c r="Z158" s="227" t="n">
        <v>0.02</v>
      </c>
      <c r="AA158" s="227" t="n">
        <v>0.173</v>
      </c>
      <c r="AB158" s="227" t="n">
        <v>0</v>
      </c>
      <c r="AC158" s="227" t="n">
        <v>0.03</v>
      </c>
      <c r="AD158" s="226" t="n">
        <v>0.43</v>
      </c>
      <c r="AE158" s="227" t="n">
        <v>0</v>
      </c>
      <c r="AF158" s="227" t="n">
        <v>0.17</v>
      </c>
      <c r="AG158" s="227" t="n">
        <v>0.44</v>
      </c>
      <c r="AH158" s="227" t="n">
        <v>0</v>
      </c>
      <c r="AI158" s="227" t="n">
        <v>0.24</v>
      </c>
      <c r="AJ158" s="227" t="n">
        <v>0</v>
      </c>
    </row>
    <row r="159" customFormat="false" ht="12.75" hidden="false" customHeight="false" outlineLevel="0" collapsed="false">
      <c r="D159" s="226" t="n">
        <v>41821</v>
      </c>
      <c r="E159" s="227" t="n">
        <v>0.0517870542727299</v>
      </c>
      <c r="F159" s="227" t="n">
        <v>4.866</v>
      </c>
      <c r="G159" s="227" t="n">
        <v>0.17</v>
      </c>
      <c r="H159" s="227" t="n">
        <v>-0.2</v>
      </c>
      <c r="I159" s="227" t="n">
        <v>0.0025</v>
      </c>
      <c r="J159" s="227" t="n">
        <v>0.17</v>
      </c>
      <c r="K159" s="227" t="n">
        <v>-0.07</v>
      </c>
      <c r="L159" s="227" t="n">
        <v>0.005</v>
      </c>
      <c r="M159" s="227" t="n">
        <v>0.17</v>
      </c>
      <c r="N159" s="227" t="n">
        <v>-0.32</v>
      </c>
      <c r="O159" s="227" t="n">
        <v>0</v>
      </c>
      <c r="P159" s="227" t="n">
        <v>0.17</v>
      </c>
      <c r="Q159" s="227" t="n">
        <v>0</v>
      </c>
      <c r="R159" s="227" t="n">
        <v>0</v>
      </c>
      <c r="S159" s="227" t="n">
        <v>0</v>
      </c>
      <c r="T159" s="227" t="n">
        <v>0</v>
      </c>
      <c r="U159" s="227" t="n">
        <v>-0.4</v>
      </c>
      <c r="V159" s="227" t="n">
        <v>0</v>
      </c>
      <c r="W159" s="227" t="n">
        <v>-0.713</v>
      </c>
      <c r="X159" s="227" t="n">
        <v>0.0015703851615521</v>
      </c>
      <c r="Y159" s="227" t="n">
        <v>-0.1</v>
      </c>
      <c r="Z159" s="227" t="n">
        <v>0.02</v>
      </c>
      <c r="AA159" s="227" t="n">
        <v>0.173</v>
      </c>
      <c r="AB159" s="227" t="n">
        <v>0</v>
      </c>
      <c r="AC159" s="227" t="n">
        <v>0.03</v>
      </c>
      <c r="AD159" s="226" t="n">
        <v>0.43</v>
      </c>
      <c r="AE159" s="227" t="n">
        <v>0</v>
      </c>
      <c r="AF159" s="227" t="n">
        <v>0.17</v>
      </c>
      <c r="AG159" s="227" t="n">
        <v>0.44</v>
      </c>
      <c r="AH159" s="227" t="n">
        <v>0</v>
      </c>
      <c r="AI159" s="227" t="n">
        <v>0.24</v>
      </c>
      <c r="AJ159" s="227" t="n">
        <v>0</v>
      </c>
    </row>
    <row r="160" customFormat="false" ht="12.75" hidden="false" customHeight="false" outlineLevel="0" collapsed="false">
      <c r="D160" s="226" t="n">
        <v>41852</v>
      </c>
      <c r="E160" s="227" t="n">
        <v>0.0518431116833451</v>
      </c>
      <c r="F160" s="227" t="n">
        <v>4.904</v>
      </c>
      <c r="G160" s="227" t="n">
        <v>0.17</v>
      </c>
      <c r="H160" s="227" t="n">
        <v>-0.2</v>
      </c>
      <c r="I160" s="227" t="n">
        <v>0.0025</v>
      </c>
      <c r="J160" s="227" t="n">
        <v>0.17</v>
      </c>
      <c r="K160" s="227" t="n">
        <v>-0.07</v>
      </c>
      <c r="L160" s="227" t="n">
        <v>0.005</v>
      </c>
      <c r="M160" s="227" t="n">
        <v>0.17</v>
      </c>
      <c r="N160" s="227" t="n">
        <v>-0.32</v>
      </c>
      <c r="O160" s="227" t="n">
        <v>0</v>
      </c>
      <c r="P160" s="227" t="n">
        <v>0.17</v>
      </c>
      <c r="Q160" s="227" t="n">
        <v>0</v>
      </c>
      <c r="R160" s="227" t="n">
        <v>0</v>
      </c>
      <c r="S160" s="227" t="n">
        <v>0</v>
      </c>
      <c r="T160" s="227" t="n">
        <v>0</v>
      </c>
      <c r="U160" s="227" t="n">
        <v>-0.4</v>
      </c>
      <c r="V160" s="227" t="n">
        <v>0</v>
      </c>
      <c r="W160" s="227" t="n">
        <v>-0.713</v>
      </c>
      <c r="X160" s="227" t="n">
        <v>0.0015695592169324</v>
      </c>
      <c r="Y160" s="227" t="n">
        <v>-0.1</v>
      </c>
      <c r="Z160" s="227" t="n">
        <v>0.02</v>
      </c>
      <c r="AA160" s="227" t="n">
        <v>0.173</v>
      </c>
      <c r="AB160" s="227" t="n">
        <v>0</v>
      </c>
      <c r="AC160" s="227" t="n">
        <v>0.03</v>
      </c>
      <c r="AD160" s="226" t="n">
        <v>0.43</v>
      </c>
      <c r="AE160" s="227" t="n">
        <v>0</v>
      </c>
      <c r="AF160" s="227" t="n">
        <v>0.17</v>
      </c>
      <c r="AG160" s="227" t="n">
        <v>0.44</v>
      </c>
      <c r="AH160" s="227" t="n">
        <v>0</v>
      </c>
      <c r="AI160" s="227" t="n">
        <v>0.24</v>
      </c>
      <c r="AJ160" s="227" t="n">
        <v>0</v>
      </c>
    </row>
    <row r="161" customFormat="false" ht="12.75" hidden="false" customHeight="false" outlineLevel="0" collapsed="false">
      <c r="D161" s="226" t="n">
        <v>41883</v>
      </c>
      <c r="E161" s="227" t="n">
        <v>0.0518991690950092</v>
      </c>
      <c r="F161" s="227" t="n">
        <v>4.898</v>
      </c>
      <c r="G161" s="227" t="n">
        <v>0.17</v>
      </c>
      <c r="H161" s="227" t="n">
        <v>-0.2</v>
      </c>
      <c r="I161" s="227" t="n">
        <v>0.0025</v>
      </c>
      <c r="J161" s="227" t="n">
        <v>0.17</v>
      </c>
      <c r="K161" s="227" t="n">
        <v>-0.07</v>
      </c>
      <c r="L161" s="227" t="n">
        <v>0.005</v>
      </c>
      <c r="M161" s="227" t="n">
        <v>0.17</v>
      </c>
      <c r="N161" s="227" t="n">
        <v>-0.32</v>
      </c>
      <c r="O161" s="227" t="n">
        <v>0</v>
      </c>
      <c r="P161" s="227" t="n">
        <v>0.17</v>
      </c>
      <c r="Q161" s="227" t="n">
        <v>0</v>
      </c>
      <c r="R161" s="227" t="n">
        <v>0</v>
      </c>
      <c r="S161" s="227" t="n">
        <v>0</v>
      </c>
      <c r="T161" s="227" t="n">
        <v>0</v>
      </c>
      <c r="U161" s="227" t="n">
        <v>-0.4</v>
      </c>
      <c r="V161" s="227" t="n">
        <v>0</v>
      </c>
      <c r="W161" s="227" t="n">
        <v>-0.713</v>
      </c>
      <c r="X161" s="227" t="n">
        <v>0.0015687299922865</v>
      </c>
      <c r="Y161" s="227" t="n">
        <v>-0.1</v>
      </c>
      <c r="Z161" s="227" t="n">
        <v>0.02</v>
      </c>
      <c r="AA161" s="227" t="n">
        <v>0.173</v>
      </c>
      <c r="AB161" s="227" t="n">
        <v>0</v>
      </c>
      <c r="AC161" s="227" t="n">
        <v>0.03</v>
      </c>
      <c r="AD161" s="226" t="n">
        <v>0.43</v>
      </c>
      <c r="AE161" s="227" t="n">
        <v>0</v>
      </c>
      <c r="AF161" s="227" t="n">
        <v>0.17</v>
      </c>
      <c r="AG161" s="227" t="n">
        <v>0.44</v>
      </c>
      <c r="AH161" s="227" t="n">
        <v>0</v>
      </c>
      <c r="AI161" s="227" t="n">
        <v>0.24</v>
      </c>
      <c r="AJ161" s="227" t="n">
        <v>0</v>
      </c>
    </row>
    <row r="162" customFormat="false" ht="12.75" hidden="false" customHeight="false" outlineLevel="0" collapsed="false">
      <c r="D162" s="226" t="n">
        <v>41913</v>
      </c>
      <c r="E162" s="227" t="n">
        <v>0.0519534182040688</v>
      </c>
      <c r="F162" s="227" t="n">
        <v>4.898</v>
      </c>
      <c r="G162" s="227" t="n">
        <v>0.17</v>
      </c>
      <c r="H162" s="227" t="n">
        <v>-0.2</v>
      </c>
      <c r="I162" s="227" t="n">
        <v>0.0025</v>
      </c>
      <c r="J162" s="227" t="n">
        <v>0.17</v>
      </c>
      <c r="K162" s="227" t="n">
        <v>-0.07</v>
      </c>
      <c r="L162" s="227" t="n">
        <v>0.005</v>
      </c>
      <c r="M162" s="227" t="n">
        <v>0.17</v>
      </c>
      <c r="N162" s="227" t="n">
        <v>-0.32</v>
      </c>
      <c r="O162" s="227" t="n">
        <v>0</v>
      </c>
      <c r="P162" s="227" t="n">
        <v>0.17</v>
      </c>
      <c r="Q162" s="227" t="n">
        <v>0</v>
      </c>
      <c r="R162" s="227" t="n">
        <v>0</v>
      </c>
      <c r="S162" s="227" t="n">
        <v>0</v>
      </c>
      <c r="T162" s="227" t="n">
        <v>0</v>
      </c>
      <c r="U162" s="227" t="n">
        <v>-0.4</v>
      </c>
      <c r="V162" s="227" t="n">
        <v>0</v>
      </c>
      <c r="W162" s="227" t="n">
        <v>-0.713</v>
      </c>
      <c r="X162" s="227" t="n">
        <v>0.0015679243994537</v>
      </c>
      <c r="Y162" s="227" t="n">
        <v>-0.1</v>
      </c>
      <c r="Z162" s="227" t="n">
        <v>0.02</v>
      </c>
      <c r="AA162" s="227" t="n">
        <v>0.173</v>
      </c>
      <c r="AB162" s="227" t="n">
        <v>0</v>
      </c>
      <c r="AC162" s="227" t="n">
        <v>0.03</v>
      </c>
      <c r="AD162" s="226" t="n">
        <v>0.43</v>
      </c>
      <c r="AE162" s="227" t="n">
        <v>0</v>
      </c>
      <c r="AF162" s="227" t="n">
        <v>0.17</v>
      </c>
      <c r="AG162" s="227" t="n">
        <v>0.44</v>
      </c>
      <c r="AH162" s="227" t="n">
        <v>0</v>
      </c>
      <c r="AI162" s="227" t="n">
        <v>0.24</v>
      </c>
      <c r="AJ162" s="227" t="n">
        <v>0</v>
      </c>
    </row>
    <row r="163" customFormat="false" ht="12.75" hidden="false" customHeight="false" outlineLevel="0" collapsed="false">
      <c r="D163" s="226" t="n">
        <v>41944</v>
      </c>
      <c r="E163" s="227" t="n">
        <v>0.0520094756177953</v>
      </c>
      <c r="F163" s="227" t="n">
        <v>5.068</v>
      </c>
      <c r="G163" s="227" t="n">
        <v>0.17</v>
      </c>
      <c r="H163" s="227" t="n">
        <v>-0.13</v>
      </c>
      <c r="I163" s="227" t="n">
        <v>0.005</v>
      </c>
      <c r="J163" s="227" t="n">
        <v>0.17</v>
      </c>
      <c r="K163" s="227" t="n">
        <v>-0.07</v>
      </c>
      <c r="L163" s="227" t="n">
        <v>0.005</v>
      </c>
      <c r="M163" s="227" t="n">
        <v>0.17</v>
      </c>
      <c r="N163" s="227" t="n">
        <v>-0.24</v>
      </c>
      <c r="O163" s="227" t="n">
        <v>0</v>
      </c>
      <c r="P163" s="227" t="n">
        <v>0.17</v>
      </c>
      <c r="Q163" s="227" t="n">
        <v>0</v>
      </c>
      <c r="R163" s="227" t="n">
        <v>0</v>
      </c>
      <c r="S163" s="227" t="n">
        <v>0</v>
      </c>
      <c r="T163" s="227" t="n">
        <v>0</v>
      </c>
      <c r="U163" s="227" t="n">
        <v>-0.32</v>
      </c>
      <c r="V163" s="227" t="n">
        <v>0</v>
      </c>
      <c r="W163" s="227" t="n">
        <v>-0.673</v>
      </c>
      <c r="X163" s="227" t="n">
        <v>0.0050146839619372</v>
      </c>
      <c r="Y163" s="227" t="n">
        <v>0.248</v>
      </c>
      <c r="Z163" s="227" t="n">
        <v>0.06</v>
      </c>
      <c r="AA163" s="227" t="n">
        <v>0.173</v>
      </c>
      <c r="AB163" s="227" t="n">
        <v>0</v>
      </c>
      <c r="AC163" s="227" t="n">
        <v>0.03</v>
      </c>
      <c r="AD163" s="226" t="n">
        <v>0.35</v>
      </c>
      <c r="AE163" s="227" t="n">
        <v>0</v>
      </c>
      <c r="AF163" s="227" t="n">
        <v>0.17</v>
      </c>
      <c r="AG163" s="227" t="n">
        <v>0.5</v>
      </c>
      <c r="AH163" s="227" t="n">
        <v>0</v>
      </c>
      <c r="AI163" s="227" t="n">
        <v>0.3</v>
      </c>
      <c r="AJ163" s="227" t="n">
        <v>0</v>
      </c>
    </row>
    <row r="164" customFormat="false" ht="12.75" hidden="false" customHeight="false" outlineLevel="0" collapsed="false">
      <c r="D164" s="226" t="n">
        <v>41974</v>
      </c>
      <c r="E164" s="227" t="n">
        <v>0.0520637247288507</v>
      </c>
      <c r="F164" s="227" t="n">
        <v>5.199</v>
      </c>
      <c r="G164" s="227" t="n">
        <v>0.17</v>
      </c>
      <c r="H164" s="227" t="n">
        <v>-0.13</v>
      </c>
      <c r="I164" s="227" t="n">
        <v>0.005</v>
      </c>
      <c r="J164" s="227" t="n">
        <v>0.17</v>
      </c>
      <c r="K164" s="227" t="n">
        <v>-0.07</v>
      </c>
      <c r="L164" s="227" t="n">
        <v>0.005</v>
      </c>
      <c r="M164" s="227" t="n">
        <v>0.17</v>
      </c>
      <c r="N164" s="227" t="n">
        <v>-0.24</v>
      </c>
      <c r="O164" s="227" t="n">
        <v>0</v>
      </c>
      <c r="P164" s="227" t="n">
        <v>0.17</v>
      </c>
      <c r="Q164" s="227" t="n">
        <v>0</v>
      </c>
      <c r="R164" s="227" t="n">
        <v>0</v>
      </c>
      <c r="S164" s="227" t="n">
        <v>0</v>
      </c>
      <c r="T164" s="227" t="n">
        <v>0</v>
      </c>
      <c r="U164" s="227" t="n">
        <v>-0.32</v>
      </c>
      <c r="V164" s="227" t="n">
        <v>0</v>
      </c>
      <c r="W164" s="227" t="n">
        <v>-0.673</v>
      </c>
      <c r="X164" s="227" t="n">
        <v>0.0050120861680126</v>
      </c>
      <c r="Y164" s="227" t="n">
        <v>0.308</v>
      </c>
      <c r="Z164" s="227" t="n">
        <v>0.06</v>
      </c>
      <c r="AA164" s="227" t="n">
        <v>0.173</v>
      </c>
      <c r="AB164" s="227" t="n">
        <v>0</v>
      </c>
      <c r="AC164" s="227" t="n">
        <v>0.03</v>
      </c>
      <c r="AD164" s="226" t="n">
        <v>0.35</v>
      </c>
      <c r="AE164" s="227" t="n">
        <v>0</v>
      </c>
      <c r="AF164" s="227" t="n">
        <v>0.17</v>
      </c>
      <c r="AG164" s="227" t="n">
        <v>0.57</v>
      </c>
      <c r="AH164" s="227" t="n">
        <v>0</v>
      </c>
      <c r="AI164" s="227" t="n">
        <v>0.37</v>
      </c>
      <c r="AJ164" s="227" t="n">
        <v>0</v>
      </c>
    </row>
    <row r="165" customFormat="false" ht="12.75" hidden="false" customHeight="false" outlineLevel="0" collapsed="false">
      <c r="D165" s="226" t="n">
        <v>42005</v>
      </c>
      <c r="E165" s="227" t="n">
        <v>0.05211978214464</v>
      </c>
      <c r="F165" s="227" t="n">
        <v>5.2715</v>
      </c>
      <c r="G165" s="227" t="n">
        <v>0.17</v>
      </c>
      <c r="H165" s="227" t="n">
        <v>-0.13</v>
      </c>
      <c r="I165" s="227" t="n">
        <v>0</v>
      </c>
      <c r="J165" s="227" t="n">
        <v>0.17</v>
      </c>
      <c r="K165" s="227" t="n">
        <v>-0.07</v>
      </c>
      <c r="L165" s="227" t="n">
        <v>0.005</v>
      </c>
      <c r="M165" s="227" t="n">
        <v>0.17</v>
      </c>
      <c r="N165" s="227" t="n">
        <v>-0.24</v>
      </c>
      <c r="O165" s="227" t="n">
        <v>0</v>
      </c>
      <c r="P165" s="227" t="n">
        <v>0.17</v>
      </c>
      <c r="Q165" s="227" t="n">
        <v>0</v>
      </c>
      <c r="R165" s="227" t="n">
        <v>0</v>
      </c>
      <c r="S165" s="227" t="n">
        <v>0</v>
      </c>
      <c r="T165" s="227" t="n">
        <v>0</v>
      </c>
      <c r="U165" s="227" t="n">
        <v>-0.32</v>
      </c>
      <c r="V165" s="227" t="n">
        <v>0</v>
      </c>
      <c r="W165" s="227" t="n">
        <v>-0.673</v>
      </c>
      <c r="X165" s="227" t="n">
        <v>0.0050093915290879</v>
      </c>
      <c r="Y165" s="227" t="n">
        <v>0.378</v>
      </c>
      <c r="Z165" s="227" t="n">
        <v>0.06</v>
      </c>
      <c r="AA165" s="227" t="n">
        <v>0.173</v>
      </c>
      <c r="AB165" s="227" t="n">
        <v>0</v>
      </c>
      <c r="AC165" s="227" t="n">
        <v>0.03</v>
      </c>
      <c r="AD165" s="226" t="n">
        <v>0.35</v>
      </c>
      <c r="AE165" s="227" t="n">
        <v>0</v>
      </c>
      <c r="AF165" s="227" t="n">
        <v>0.17</v>
      </c>
      <c r="AG165" s="227" t="n">
        <v>0.57</v>
      </c>
      <c r="AH165" s="227" t="n">
        <v>0</v>
      </c>
      <c r="AI165" s="227" t="n">
        <v>0.37</v>
      </c>
      <c r="AJ165" s="227" t="n">
        <v>0</v>
      </c>
    </row>
    <row r="166" customFormat="false" ht="12.75" hidden="false" customHeight="false" outlineLevel="0" collapsed="false">
      <c r="D166" s="226" t="n">
        <v>42036</v>
      </c>
      <c r="E166" s="227" t="n">
        <v>0.0521758395614769</v>
      </c>
      <c r="F166" s="227" t="n">
        <v>5.1835</v>
      </c>
      <c r="G166" s="227" t="n">
        <v>0.17</v>
      </c>
      <c r="H166" s="227" t="n">
        <v>-0.13</v>
      </c>
      <c r="I166" s="227" t="n">
        <v>0</v>
      </c>
      <c r="J166" s="227" t="n">
        <v>0.17</v>
      </c>
      <c r="K166" s="227" t="n">
        <v>-0.07</v>
      </c>
      <c r="L166" s="227" t="n">
        <v>0.005</v>
      </c>
      <c r="M166" s="227" t="n">
        <v>0.17</v>
      </c>
      <c r="N166" s="227" t="n">
        <v>-0.24</v>
      </c>
      <c r="O166" s="227" t="n">
        <v>0</v>
      </c>
      <c r="P166" s="227" t="n">
        <v>0.17</v>
      </c>
      <c r="Q166" s="227" t="n">
        <v>0</v>
      </c>
      <c r="R166" s="227" t="n">
        <v>0</v>
      </c>
      <c r="S166" s="227" t="n">
        <v>0</v>
      </c>
      <c r="T166" s="227" t="n">
        <v>0</v>
      </c>
      <c r="U166" s="227" t="n">
        <v>-0.32</v>
      </c>
      <c r="V166" s="227" t="n">
        <v>0</v>
      </c>
      <c r="W166" s="227" t="n">
        <v>-0.673</v>
      </c>
      <c r="X166" s="227" t="n">
        <v>0.0050066864894715</v>
      </c>
      <c r="Y166" s="227" t="n">
        <v>0.248</v>
      </c>
      <c r="Z166" s="227" t="n">
        <v>0.06</v>
      </c>
      <c r="AA166" s="227" t="n">
        <v>0.173</v>
      </c>
      <c r="AB166" s="227" t="n">
        <v>0</v>
      </c>
      <c r="AC166" s="227" t="n">
        <v>0.03</v>
      </c>
      <c r="AD166" s="226" t="n">
        <v>0.35</v>
      </c>
      <c r="AE166" s="227" t="n">
        <v>0</v>
      </c>
      <c r="AF166" s="227" t="n">
        <v>0.17</v>
      </c>
      <c r="AG166" s="227" t="n">
        <v>0.57</v>
      </c>
      <c r="AH166" s="227" t="n">
        <v>0</v>
      </c>
      <c r="AI166" s="227" t="n">
        <v>0.37</v>
      </c>
      <c r="AJ166" s="227" t="n">
        <v>0</v>
      </c>
    </row>
    <row r="167" customFormat="false" ht="12.75" hidden="false" customHeight="false" outlineLevel="0" collapsed="false">
      <c r="D167" s="226" t="n">
        <v>42064</v>
      </c>
      <c r="E167" s="227" t="n">
        <v>0.052226472067908</v>
      </c>
      <c r="F167" s="227" t="n">
        <v>5.0445</v>
      </c>
      <c r="G167" s="227" t="n">
        <v>0.17</v>
      </c>
      <c r="H167" s="227" t="n">
        <v>-0.13</v>
      </c>
      <c r="I167" s="227" t="n">
        <v>0</v>
      </c>
      <c r="J167" s="227" t="n">
        <v>0.17</v>
      </c>
      <c r="K167" s="227" t="n">
        <v>-0.07</v>
      </c>
      <c r="L167" s="227" t="n">
        <v>0.005</v>
      </c>
      <c r="M167" s="227" t="n">
        <v>0.17</v>
      </c>
      <c r="N167" s="227" t="n">
        <v>-0.24</v>
      </c>
      <c r="O167" s="227" t="n">
        <v>0</v>
      </c>
      <c r="P167" s="227" t="n">
        <v>0.17</v>
      </c>
      <c r="Q167" s="227" t="n">
        <v>0</v>
      </c>
      <c r="R167" s="227" t="n">
        <v>0</v>
      </c>
      <c r="S167" s="227" t="n">
        <v>0</v>
      </c>
      <c r="T167" s="227" t="n">
        <v>0</v>
      </c>
      <c r="U167" s="227" t="n">
        <v>-0.32</v>
      </c>
      <c r="V167" s="227" t="n">
        <v>0</v>
      </c>
      <c r="W167" s="227" t="n">
        <v>-0.673</v>
      </c>
      <c r="X167" s="227" t="n">
        <v>0.005004234304494</v>
      </c>
      <c r="Y167" s="227" t="n">
        <v>0.068</v>
      </c>
      <c r="Z167" s="227" t="n">
        <v>0.06</v>
      </c>
      <c r="AA167" s="227" t="n">
        <v>0.173</v>
      </c>
      <c r="AB167" s="227" t="n">
        <v>0</v>
      </c>
      <c r="AC167" s="227" t="n">
        <v>0.03</v>
      </c>
      <c r="AD167" s="226" t="n">
        <v>0.35</v>
      </c>
      <c r="AE167" s="227" t="n">
        <v>0</v>
      </c>
      <c r="AF167" s="227" t="n">
        <v>0.17</v>
      </c>
      <c r="AG167" s="227" t="n">
        <v>0.57</v>
      </c>
      <c r="AH167" s="227" t="n">
        <v>0</v>
      </c>
      <c r="AI167" s="227" t="n">
        <v>0.37</v>
      </c>
      <c r="AJ167" s="227" t="n">
        <v>0</v>
      </c>
    </row>
    <row r="168" customFormat="false" ht="12.75" hidden="false" customHeight="false" outlineLevel="0" collapsed="false">
      <c r="D168" s="226" t="n">
        <v>42095</v>
      </c>
      <c r="E168" s="227" t="n">
        <v>0.0522825294867397</v>
      </c>
      <c r="F168" s="227" t="n">
        <v>4.8905</v>
      </c>
      <c r="G168" s="227" t="n">
        <v>0.17</v>
      </c>
      <c r="H168" s="227" t="n">
        <v>-0.2</v>
      </c>
      <c r="I168" s="227" t="n">
        <v>0</v>
      </c>
      <c r="J168" s="227" t="n">
        <v>0.17</v>
      </c>
      <c r="K168" s="227" t="n">
        <v>-0.07</v>
      </c>
      <c r="L168" s="227" t="n">
        <v>0.005</v>
      </c>
      <c r="M168" s="227" t="n">
        <v>0.17</v>
      </c>
      <c r="N168" s="227" t="n">
        <v>-0.32</v>
      </c>
      <c r="O168" s="227" t="n">
        <v>0</v>
      </c>
      <c r="P168" s="227" t="n">
        <v>0.17</v>
      </c>
      <c r="Q168" s="227" t="n">
        <v>0</v>
      </c>
      <c r="R168" s="227" t="n">
        <v>0</v>
      </c>
      <c r="S168" s="227" t="n">
        <v>0</v>
      </c>
      <c r="T168" s="227" t="n">
        <v>0</v>
      </c>
      <c r="U168" s="227" t="n">
        <v>0</v>
      </c>
      <c r="V168" s="227" t="n">
        <v>0</v>
      </c>
      <c r="W168" s="227" t="n">
        <v>-0.808</v>
      </c>
      <c r="X168" s="227" t="n">
        <v>0.0050015095239675</v>
      </c>
      <c r="Y168" s="227" t="n">
        <v>-0.25</v>
      </c>
      <c r="Z168" s="227" t="n">
        <v>0.02</v>
      </c>
      <c r="AA168" s="227" t="n">
        <v>0.173</v>
      </c>
      <c r="AB168" s="227" t="n">
        <v>0</v>
      </c>
      <c r="AC168" s="227" t="n">
        <v>0.03</v>
      </c>
      <c r="AD168" s="226" t="n">
        <v>0.43</v>
      </c>
      <c r="AE168" s="227" t="n">
        <v>0</v>
      </c>
      <c r="AF168" s="227" t="n">
        <v>0.17</v>
      </c>
      <c r="AG168" s="227" t="n">
        <v>0.44</v>
      </c>
      <c r="AH168" s="227" t="n">
        <v>0</v>
      </c>
      <c r="AI168" s="227" t="n">
        <v>0.24</v>
      </c>
      <c r="AJ168" s="227" t="n">
        <v>0</v>
      </c>
    </row>
    <row r="169" customFormat="false" ht="12.75" hidden="false" customHeight="false" outlineLevel="0" collapsed="false">
      <c r="D169" s="226" t="n">
        <v>42125</v>
      </c>
      <c r="E169" s="227" t="n">
        <v>0.052336778602736</v>
      </c>
      <c r="F169" s="227" t="n">
        <v>4.8955</v>
      </c>
      <c r="G169" s="227" t="n">
        <v>0.17</v>
      </c>
      <c r="H169" s="227" t="n">
        <v>-0.2</v>
      </c>
      <c r="I169" s="227" t="n">
        <v>0</v>
      </c>
      <c r="J169" s="227" t="n">
        <v>0.17</v>
      </c>
      <c r="K169" s="227" t="n">
        <v>-0.07</v>
      </c>
      <c r="L169" s="227" t="n">
        <v>0.005</v>
      </c>
      <c r="M169" s="227" t="n">
        <v>0.17</v>
      </c>
      <c r="N169" s="227" t="n">
        <v>-0.32</v>
      </c>
      <c r="O169" s="227" t="n">
        <v>0</v>
      </c>
      <c r="P169" s="227" t="n">
        <v>0.17</v>
      </c>
      <c r="Q169" s="227" t="n">
        <v>0</v>
      </c>
      <c r="R169" s="227" t="n">
        <v>0</v>
      </c>
      <c r="S169" s="227" t="n">
        <v>0</v>
      </c>
      <c r="T169" s="227" t="n">
        <v>0</v>
      </c>
      <c r="U169" s="227" t="n">
        <v>0</v>
      </c>
      <c r="V169" s="227" t="n">
        <v>0</v>
      </c>
      <c r="W169" s="227" t="n">
        <v>-0.808</v>
      </c>
      <c r="X169" s="227" t="n">
        <v>0.0049988627906364</v>
      </c>
      <c r="Y169" s="227" t="n">
        <v>-0.1</v>
      </c>
      <c r="Z169" s="227" t="n">
        <v>0.02</v>
      </c>
      <c r="AA169" s="227" t="n">
        <v>0.173</v>
      </c>
      <c r="AB169" s="227" t="n">
        <v>0</v>
      </c>
      <c r="AC169" s="227" t="n">
        <v>0.03</v>
      </c>
      <c r="AD169" s="226" t="n">
        <v>0.43</v>
      </c>
      <c r="AE169" s="227" t="n">
        <v>0</v>
      </c>
      <c r="AF169" s="227" t="n">
        <v>0.17</v>
      </c>
      <c r="AG169" s="227" t="n">
        <v>0.44</v>
      </c>
      <c r="AH169" s="227" t="n">
        <v>0</v>
      </c>
      <c r="AI169" s="227" t="n">
        <v>0.24</v>
      </c>
      <c r="AJ169" s="227" t="n">
        <v>0</v>
      </c>
    </row>
    <row r="170" customFormat="false" ht="12.75" hidden="false" customHeight="false" outlineLevel="0" collapsed="false">
      <c r="D170" s="226" t="n">
        <v>42156</v>
      </c>
      <c r="E170" s="227" t="n">
        <v>0.0523928360236301</v>
      </c>
      <c r="F170" s="227" t="n">
        <v>4.9335</v>
      </c>
      <c r="G170" s="227" t="n">
        <v>0.17</v>
      </c>
      <c r="H170" s="227" t="n">
        <v>-0.2</v>
      </c>
      <c r="I170" s="227" t="n">
        <v>0</v>
      </c>
      <c r="J170" s="227" t="n">
        <v>0.17</v>
      </c>
      <c r="K170" s="227" t="n">
        <v>-0.07</v>
      </c>
      <c r="L170" s="227" t="n">
        <v>0.005</v>
      </c>
      <c r="M170" s="227" t="n">
        <v>0.17</v>
      </c>
      <c r="N170" s="227" t="n">
        <v>-0.32</v>
      </c>
      <c r="O170" s="227" t="n">
        <v>0</v>
      </c>
      <c r="P170" s="227" t="n">
        <v>0.17</v>
      </c>
      <c r="Q170" s="227" t="n">
        <v>0</v>
      </c>
      <c r="R170" s="227" t="n">
        <v>0</v>
      </c>
      <c r="S170" s="227" t="n">
        <v>0</v>
      </c>
      <c r="T170" s="227" t="n">
        <v>0</v>
      </c>
      <c r="U170" s="227" t="n">
        <v>0</v>
      </c>
      <c r="V170" s="227" t="n">
        <v>0</v>
      </c>
      <c r="W170" s="227" t="n">
        <v>-0.808</v>
      </c>
      <c r="X170" s="227" t="n">
        <v>0.0049961176747729</v>
      </c>
      <c r="Y170" s="227" t="n">
        <v>-0.1</v>
      </c>
      <c r="Z170" s="227" t="n">
        <v>0.02</v>
      </c>
      <c r="AA170" s="227" t="n">
        <v>0.173</v>
      </c>
      <c r="AB170" s="227" t="n">
        <v>0</v>
      </c>
      <c r="AC170" s="227" t="n">
        <v>0.03</v>
      </c>
      <c r="AD170" s="226" t="n">
        <v>0.43</v>
      </c>
      <c r="AE170" s="227" t="n">
        <v>0</v>
      </c>
      <c r="AF170" s="227" t="n">
        <v>0.17</v>
      </c>
      <c r="AG170" s="227" t="n">
        <v>0.44</v>
      </c>
      <c r="AH170" s="227" t="n">
        <v>0</v>
      </c>
      <c r="AI170" s="227" t="n">
        <v>0.24</v>
      </c>
      <c r="AJ170" s="227" t="n">
        <v>0</v>
      </c>
    </row>
    <row r="171" customFormat="false" ht="12.75" hidden="false" customHeight="false" outlineLevel="0" collapsed="false">
      <c r="D171" s="226" t="n">
        <v>42186</v>
      </c>
      <c r="E171" s="227" t="n">
        <v>0.0524470851416221</v>
      </c>
      <c r="F171" s="227" t="n">
        <v>4.9785</v>
      </c>
      <c r="G171" s="227" t="n">
        <v>0.17</v>
      </c>
      <c r="H171" s="227" t="n">
        <v>-0.2</v>
      </c>
      <c r="I171" s="227" t="n">
        <v>0</v>
      </c>
      <c r="J171" s="227" t="n">
        <v>0.17</v>
      </c>
      <c r="K171" s="227" t="n">
        <v>-0.07</v>
      </c>
      <c r="L171" s="227" t="n">
        <v>0.005</v>
      </c>
      <c r="M171" s="227" t="n">
        <v>0.17</v>
      </c>
      <c r="N171" s="227" t="n">
        <v>-0.32</v>
      </c>
      <c r="O171" s="227" t="n">
        <v>0</v>
      </c>
      <c r="P171" s="227" t="n">
        <v>0.17</v>
      </c>
      <c r="Q171" s="227" t="n">
        <v>0</v>
      </c>
      <c r="R171" s="227" t="n">
        <v>0</v>
      </c>
      <c r="S171" s="227" t="n">
        <v>0</v>
      </c>
      <c r="T171" s="227" t="n">
        <v>0</v>
      </c>
      <c r="U171" s="227" t="n">
        <v>0</v>
      </c>
      <c r="V171" s="227" t="n">
        <v>0</v>
      </c>
      <c r="W171" s="227" t="n">
        <v>-0.808</v>
      </c>
      <c r="X171" s="227" t="n">
        <v>0.0049934512990238</v>
      </c>
      <c r="Y171" s="227" t="n">
        <v>-0.1</v>
      </c>
      <c r="Z171" s="227" t="n">
        <v>0.02</v>
      </c>
      <c r="AA171" s="227" t="n">
        <v>0.173</v>
      </c>
      <c r="AB171" s="227" t="n">
        <v>0</v>
      </c>
      <c r="AC171" s="227" t="n">
        <v>0.03</v>
      </c>
      <c r="AD171" s="226" t="n">
        <v>0.43</v>
      </c>
      <c r="AE171" s="227" t="n">
        <v>0</v>
      </c>
      <c r="AF171" s="227" t="n">
        <v>0.17</v>
      </c>
      <c r="AG171" s="227" t="n">
        <v>0.44</v>
      </c>
      <c r="AH171" s="227" t="n">
        <v>0</v>
      </c>
      <c r="AI171" s="227" t="n">
        <v>0.24</v>
      </c>
      <c r="AJ171" s="227" t="n">
        <v>0</v>
      </c>
    </row>
    <row r="172" customFormat="false" ht="12.75" hidden="false" customHeight="false" outlineLevel="0" collapsed="false">
      <c r="D172" s="226" t="n">
        <v>42217</v>
      </c>
      <c r="E172" s="227" t="n">
        <v>0.0525031425645781</v>
      </c>
      <c r="F172" s="227" t="n">
        <v>5.0165</v>
      </c>
      <c r="G172" s="227" t="n">
        <v>0.17</v>
      </c>
      <c r="H172" s="227" t="n">
        <v>-0.2</v>
      </c>
      <c r="I172" s="227" t="n">
        <v>0</v>
      </c>
      <c r="J172" s="227" t="n">
        <v>0.17</v>
      </c>
      <c r="K172" s="227" t="n">
        <v>-0.07</v>
      </c>
      <c r="L172" s="227" t="n">
        <v>0.005</v>
      </c>
      <c r="M172" s="227" t="n">
        <v>0.17</v>
      </c>
      <c r="N172" s="227" t="n">
        <v>-0.32</v>
      </c>
      <c r="O172" s="227" t="n">
        <v>0</v>
      </c>
      <c r="P172" s="227" t="n">
        <v>0.17</v>
      </c>
      <c r="Q172" s="227" t="n">
        <v>0</v>
      </c>
      <c r="R172" s="227" t="n">
        <v>0</v>
      </c>
      <c r="S172" s="227" t="n">
        <v>0</v>
      </c>
      <c r="T172" s="227" t="n">
        <v>0</v>
      </c>
      <c r="U172" s="227" t="n">
        <v>0</v>
      </c>
      <c r="V172" s="227" t="n">
        <v>0</v>
      </c>
      <c r="W172" s="227" t="n">
        <v>-0.808</v>
      </c>
      <c r="X172" s="227" t="n">
        <v>0.0049906859242826</v>
      </c>
      <c r="Y172" s="227" t="n">
        <v>-0.1</v>
      </c>
      <c r="Z172" s="227" t="n">
        <v>0.02</v>
      </c>
      <c r="AA172" s="227" t="n">
        <v>0.173</v>
      </c>
      <c r="AB172" s="227" t="n">
        <v>0</v>
      </c>
      <c r="AC172" s="227" t="n">
        <v>0.03</v>
      </c>
      <c r="AD172" s="226" t="n">
        <v>0.43</v>
      </c>
      <c r="AE172" s="227" t="n">
        <v>0</v>
      </c>
      <c r="AF172" s="227" t="n">
        <v>0.17</v>
      </c>
      <c r="AG172" s="227" t="n">
        <v>0.44</v>
      </c>
      <c r="AH172" s="227" t="n">
        <v>0</v>
      </c>
      <c r="AI172" s="227" t="n">
        <v>0.24</v>
      </c>
      <c r="AJ172" s="227" t="n">
        <v>0</v>
      </c>
    </row>
    <row r="173" customFormat="false" ht="12.75" hidden="false" customHeight="false" outlineLevel="0" collapsed="false">
      <c r="D173" s="226" t="n">
        <v>42248</v>
      </c>
      <c r="E173" s="227" t="n">
        <v>0.0525591999885826</v>
      </c>
      <c r="F173" s="227" t="n">
        <v>5.0105</v>
      </c>
      <c r="G173" s="227" t="n">
        <v>0.17</v>
      </c>
      <c r="H173" s="227" t="n">
        <v>-0.2</v>
      </c>
      <c r="I173" s="227" t="n">
        <v>0</v>
      </c>
      <c r="J173" s="227" t="n">
        <v>0.17</v>
      </c>
      <c r="K173" s="227" t="n">
        <v>-0.07</v>
      </c>
      <c r="L173" s="227" t="n">
        <v>0.005</v>
      </c>
      <c r="M173" s="227" t="n">
        <v>0.17</v>
      </c>
      <c r="N173" s="227" t="n">
        <v>-0.32</v>
      </c>
      <c r="O173" s="227" t="n">
        <v>0</v>
      </c>
      <c r="P173" s="227" t="n">
        <v>0.17</v>
      </c>
      <c r="Q173" s="227" t="n">
        <v>0</v>
      </c>
      <c r="R173" s="227" t="n">
        <v>0</v>
      </c>
      <c r="S173" s="227" t="n">
        <v>0</v>
      </c>
      <c r="T173" s="227" t="n">
        <v>0</v>
      </c>
      <c r="U173" s="227" t="n">
        <v>0</v>
      </c>
      <c r="V173" s="227" t="n">
        <v>0</v>
      </c>
      <c r="W173" s="227" t="n">
        <v>-0.808</v>
      </c>
      <c r="X173" s="227" t="n">
        <v>0.0049879102834948</v>
      </c>
      <c r="Y173" s="227" t="n">
        <v>-0.1</v>
      </c>
      <c r="Z173" s="227" t="n">
        <v>0.02</v>
      </c>
      <c r="AA173" s="227" t="n">
        <v>0.173</v>
      </c>
      <c r="AB173" s="227" t="n">
        <v>0</v>
      </c>
      <c r="AC173" s="227" t="n">
        <v>0.03</v>
      </c>
      <c r="AD173" s="226" t="n">
        <v>0.43</v>
      </c>
      <c r="AE173" s="227" t="n">
        <v>0</v>
      </c>
      <c r="AF173" s="227" t="n">
        <v>0.17</v>
      </c>
      <c r="AG173" s="227" t="n">
        <v>0.44</v>
      </c>
      <c r="AH173" s="227" t="n">
        <v>0</v>
      </c>
      <c r="AI173" s="227" t="n">
        <v>0.24</v>
      </c>
      <c r="AJ173" s="227" t="n">
        <v>0</v>
      </c>
    </row>
    <row r="174" customFormat="false" ht="12.75" hidden="false" customHeight="false" outlineLevel="0" collapsed="false">
      <c r="D174" s="226" t="n">
        <v>42278</v>
      </c>
      <c r="E174" s="227" t="n">
        <v>0.0526134491095838</v>
      </c>
      <c r="F174" s="227" t="n">
        <v>5.0105</v>
      </c>
      <c r="G174" s="227" t="n">
        <v>0.17</v>
      </c>
      <c r="H174" s="227" t="n">
        <v>-0.2</v>
      </c>
      <c r="I174" s="227" t="n">
        <v>0</v>
      </c>
      <c r="J174" s="227" t="n">
        <v>0.17</v>
      </c>
      <c r="K174" s="227" t="n">
        <v>-0.07</v>
      </c>
      <c r="L174" s="227" t="n">
        <v>0.005</v>
      </c>
      <c r="M174" s="227" t="n">
        <v>0.17</v>
      </c>
      <c r="N174" s="227" t="n">
        <v>-0.32</v>
      </c>
      <c r="O174" s="227" t="n">
        <v>0</v>
      </c>
      <c r="P174" s="227" t="n">
        <v>0.17</v>
      </c>
      <c r="Q174" s="227" t="n">
        <v>0</v>
      </c>
      <c r="R174" s="227" t="n">
        <v>0</v>
      </c>
      <c r="S174" s="227" t="n">
        <v>0</v>
      </c>
      <c r="T174" s="227" t="n">
        <v>0</v>
      </c>
      <c r="U174" s="227" t="n">
        <v>0</v>
      </c>
      <c r="V174" s="227" t="n">
        <v>0</v>
      </c>
      <c r="W174" s="227" t="n">
        <v>-0.808</v>
      </c>
      <c r="X174" s="227" t="n">
        <v>0.0049852144236296</v>
      </c>
      <c r="Y174" s="227" t="n">
        <v>-0.1</v>
      </c>
      <c r="Z174" s="227" t="n">
        <v>0.02</v>
      </c>
      <c r="AA174" s="227" t="n">
        <v>0.173</v>
      </c>
      <c r="AB174" s="227" t="n">
        <v>0</v>
      </c>
      <c r="AC174" s="227" t="n">
        <v>0.03</v>
      </c>
      <c r="AD174" s="226" t="n">
        <v>0.43</v>
      </c>
      <c r="AE174" s="227" t="n">
        <v>0</v>
      </c>
      <c r="AF174" s="227" t="n">
        <v>0.17</v>
      </c>
      <c r="AG174" s="227" t="n">
        <v>0.44</v>
      </c>
      <c r="AH174" s="227" t="n">
        <v>0</v>
      </c>
      <c r="AI174" s="227" t="n">
        <v>0.24</v>
      </c>
      <c r="AJ174" s="227" t="n">
        <v>0</v>
      </c>
    </row>
    <row r="175" customFormat="false" ht="12.75" hidden="false" customHeight="false" outlineLevel="0" collapsed="false">
      <c r="D175" s="226" t="n">
        <v>42309</v>
      </c>
      <c r="E175" s="227" t="n">
        <v>0.0526695065356502</v>
      </c>
      <c r="F175" s="227" t="n">
        <v>5.1805</v>
      </c>
      <c r="G175" s="227" t="n">
        <v>0.17</v>
      </c>
      <c r="H175" s="227" t="n">
        <v>-0.13</v>
      </c>
      <c r="I175" s="227" t="n">
        <v>0</v>
      </c>
      <c r="J175" s="227" t="n">
        <v>0.17</v>
      </c>
      <c r="K175" s="227" t="n">
        <v>-0.07</v>
      </c>
      <c r="L175" s="227" t="n">
        <v>0.005</v>
      </c>
      <c r="M175" s="227" t="n">
        <v>0.17</v>
      </c>
      <c r="N175" s="227" t="n">
        <v>-0.24</v>
      </c>
      <c r="O175" s="227" t="n">
        <v>0</v>
      </c>
      <c r="P175" s="227" t="n">
        <v>0.17</v>
      </c>
      <c r="Q175" s="227" t="n">
        <v>0</v>
      </c>
      <c r="R175" s="227" t="n">
        <v>0</v>
      </c>
      <c r="S175" s="227" t="n">
        <v>0</v>
      </c>
      <c r="T175" s="227" t="n">
        <v>0</v>
      </c>
      <c r="U175" s="227" t="n">
        <v>0</v>
      </c>
      <c r="V175" s="227" t="n">
        <v>0</v>
      </c>
      <c r="W175" s="227" t="n">
        <v>-0.708</v>
      </c>
      <c r="X175" s="227" t="n">
        <v>0.004982418640146</v>
      </c>
      <c r="Y175" s="227" t="n">
        <v>0</v>
      </c>
      <c r="Z175" s="227" t="n">
        <v>0.06</v>
      </c>
      <c r="AA175" s="227" t="n">
        <v>0.173</v>
      </c>
      <c r="AB175" s="227" t="n">
        <v>0</v>
      </c>
      <c r="AC175" s="227" t="n">
        <v>0</v>
      </c>
      <c r="AD175" s="226" t="n">
        <v>0.35</v>
      </c>
      <c r="AE175" s="227" t="n">
        <v>0</v>
      </c>
      <c r="AF175" s="227" t="n">
        <v>0.17</v>
      </c>
      <c r="AG175" s="227" t="n">
        <v>0.5</v>
      </c>
      <c r="AH175" s="227" t="n">
        <v>0</v>
      </c>
      <c r="AI175" s="227" t="n">
        <v>0.3</v>
      </c>
      <c r="AJ175" s="227" t="n">
        <v>0</v>
      </c>
    </row>
    <row r="176" customFormat="false" ht="12.75" hidden="false" customHeight="false" outlineLevel="0" collapsed="false">
      <c r="D176" s="226" t="n">
        <v>42339</v>
      </c>
      <c r="E176" s="227" t="n">
        <v>0.0527237556586471</v>
      </c>
      <c r="F176" s="227" t="n">
        <v>5.3115</v>
      </c>
      <c r="G176" s="227" t="n">
        <v>0.17</v>
      </c>
      <c r="H176" s="227" t="n">
        <v>-0.13</v>
      </c>
      <c r="I176" s="227" t="n">
        <v>0</v>
      </c>
      <c r="J176" s="227" t="n">
        <v>0.17</v>
      </c>
      <c r="K176" s="227" t="n">
        <v>-0.07</v>
      </c>
      <c r="L176" s="227" t="n">
        <v>0.005</v>
      </c>
      <c r="M176" s="227" t="n">
        <v>0.17</v>
      </c>
      <c r="N176" s="227" t="n">
        <v>-0.24</v>
      </c>
      <c r="O176" s="227" t="n">
        <v>0</v>
      </c>
      <c r="P176" s="227" t="n">
        <v>0.17</v>
      </c>
      <c r="Q176" s="227" t="n">
        <v>0</v>
      </c>
      <c r="R176" s="227" t="n">
        <v>0</v>
      </c>
      <c r="S176" s="227" t="n">
        <v>0</v>
      </c>
      <c r="T176" s="227" t="n">
        <v>0</v>
      </c>
      <c r="U176" s="227" t="n">
        <v>0</v>
      </c>
      <c r="V176" s="227" t="n">
        <v>0</v>
      </c>
      <c r="W176" s="227" t="n">
        <v>-0.708</v>
      </c>
      <c r="X176" s="227" t="n">
        <v>0.0049797033248443</v>
      </c>
      <c r="Y176" s="227" t="n">
        <v>0</v>
      </c>
      <c r="Z176" s="227" t="n">
        <v>0.06</v>
      </c>
      <c r="AA176" s="227" t="n">
        <v>0.173</v>
      </c>
      <c r="AB176" s="227" t="n">
        <v>0</v>
      </c>
      <c r="AC176" s="227" t="n">
        <v>0</v>
      </c>
      <c r="AD176" s="226" t="n">
        <v>0.35</v>
      </c>
      <c r="AE176" s="227" t="n">
        <v>0</v>
      </c>
      <c r="AF176" s="227" t="n">
        <v>0.17</v>
      </c>
      <c r="AG176" s="227" t="n">
        <v>0.57</v>
      </c>
      <c r="AH176" s="227" t="n">
        <v>0</v>
      </c>
      <c r="AI176" s="227" t="n">
        <v>0.37</v>
      </c>
      <c r="AJ176" s="227" t="n">
        <v>0</v>
      </c>
    </row>
    <row r="177" customFormat="false" ht="12.75" hidden="false" customHeight="false" outlineLevel="0" collapsed="false">
      <c r="D177" s="226" t="n">
        <v>42370</v>
      </c>
      <c r="E177" s="227" t="n">
        <v>0.0527798130867754</v>
      </c>
      <c r="F177" s="227" t="n">
        <v>5.384</v>
      </c>
      <c r="G177" s="227" t="n">
        <v>0.17</v>
      </c>
      <c r="H177" s="227" t="n">
        <v>-0.13</v>
      </c>
      <c r="I177" s="227" t="n">
        <v>0</v>
      </c>
      <c r="J177" s="227" t="n">
        <v>0.17</v>
      </c>
      <c r="K177" s="227" t="n">
        <v>-0.07</v>
      </c>
      <c r="L177" s="227" t="n">
        <v>0.005</v>
      </c>
      <c r="M177" s="227" t="n">
        <v>0.17</v>
      </c>
      <c r="N177" s="227" t="n">
        <v>-0.24</v>
      </c>
      <c r="O177" s="227" t="n">
        <v>0</v>
      </c>
      <c r="P177" s="227" t="n">
        <v>0.17</v>
      </c>
      <c r="Q177" s="227" t="n">
        <v>0</v>
      </c>
      <c r="R177" s="227" t="n">
        <v>0</v>
      </c>
      <c r="S177" s="227" t="n">
        <v>0</v>
      </c>
      <c r="T177" s="227" t="n">
        <v>0</v>
      </c>
      <c r="U177" s="227" t="n">
        <v>0</v>
      </c>
      <c r="V177" s="227" t="n">
        <v>0</v>
      </c>
      <c r="W177" s="227" t="n">
        <v>-0.708</v>
      </c>
      <c r="X177" s="227" t="n">
        <v>0.0049768874762679</v>
      </c>
      <c r="Y177" s="227" t="n">
        <v>0</v>
      </c>
      <c r="Z177" s="227" t="n">
        <v>0.06</v>
      </c>
      <c r="AA177" s="227" t="n">
        <v>0.173</v>
      </c>
      <c r="AB177" s="227" t="n">
        <v>0</v>
      </c>
      <c r="AC177" s="227" t="n">
        <v>0</v>
      </c>
      <c r="AD177" s="226" t="n">
        <v>0.35</v>
      </c>
      <c r="AE177" s="227" t="n">
        <v>0</v>
      </c>
      <c r="AF177" s="227" t="n">
        <v>0.17</v>
      </c>
      <c r="AG177" s="227" t="n">
        <v>0.57</v>
      </c>
      <c r="AH177" s="227" t="n">
        <v>0</v>
      </c>
      <c r="AI177" s="227" t="n">
        <v>0.37</v>
      </c>
      <c r="AJ177" s="227" t="n">
        <v>0</v>
      </c>
    </row>
    <row r="178" customFormat="false" ht="12.75" hidden="false" customHeight="false" outlineLevel="0" collapsed="false">
      <c r="D178" s="226" t="n">
        <v>42401</v>
      </c>
      <c r="E178" s="227" t="n">
        <v>0.0528358705159508</v>
      </c>
      <c r="F178" s="227" t="n">
        <v>5.296</v>
      </c>
      <c r="G178" s="227" t="n">
        <v>0.17</v>
      </c>
      <c r="H178" s="227" t="n">
        <v>-0.13</v>
      </c>
      <c r="I178" s="227" t="n">
        <v>0</v>
      </c>
      <c r="J178" s="227" t="n">
        <v>0.17</v>
      </c>
      <c r="K178" s="227" t="n">
        <v>-0.07</v>
      </c>
      <c r="L178" s="227" t="n">
        <v>0.005</v>
      </c>
      <c r="M178" s="227" t="n">
        <v>0.17</v>
      </c>
      <c r="N178" s="227" t="n">
        <v>-0.24</v>
      </c>
      <c r="O178" s="227" t="n">
        <v>0</v>
      </c>
      <c r="P178" s="227" t="n">
        <v>0.17</v>
      </c>
      <c r="Q178" s="227" t="n">
        <v>0</v>
      </c>
      <c r="R178" s="227" t="n">
        <v>0</v>
      </c>
      <c r="S178" s="227" t="n">
        <v>0</v>
      </c>
      <c r="T178" s="227" t="n">
        <v>0</v>
      </c>
      <c r="U178" s="227" t="n">
        <v>0</v>
      </c>
      <c r="V178" s="227" t="n">
        <v>0</v>
      </c>
      <c r="W178" s="227" t="n">
        <v>-0.708</v>
      </c>
      <c r="X178" s="227" t="n">
        <v>0.0049740614605612</v>
      </c>
      <c r="Y178" s="227" t="n">
        <v>0</v>
      </c>
      <c r="Z178" s="227" t="n">
        <v>0.06</v>
      </c>
      <c r="AA178" s="227" t="n">
        <v>0.173</v>
      </c>
      <c r="AB178" s="227" t="n">
        <v>0</v>
      </c>
      <c r="AC178" s="227" t="n">
        <v>0</v>
      </c>
      <c r="AD178" s="226" t="n">
        <v>0.35</v>
      </c>
      <c r="AE178" s="227" t="n">
        <v>0</v>
      </c>
      <c r="AF178" s="227" t="n">
        <v>0.17</v>
      </c>
      <c r="AG178" s="227" t="n">
        <v>0.57</v>
      </c>
      <c r="AH178" s="227" t="n">
        <v>0</v>
      </c>
      <c r="AI178" s="227" t="n">
        <v>0.37</v>
      </c>
      <c r="AJ178" s="227" t="n">
        <v>0</v>
      </c>
    </row>
    <row r="179" customFormat="false" ht="12.75" hidden="false" customHeight="false" outlineLevel="0" collapsed="false">
      <c r="D179" s="226" t="n">
        <v>42430</v>
      </c>
      <c r="E179" s="227" t="n">
        <v>0.0528883113377412</v>
      </c>
      <c r="F179" s="227" t="n">
        <v>5.157</v>
      </c>
      <c r="G179" s="227" t="n">
        <v>0.17</v>
      </c>
      <c r="H179" s="227" t="n">
        <v>-0.13</v>
      </c>
      <c r="I179" s="227" t="n">
        <v>0</v>
      </c>
      <c r="J179" s="227" t="n">
        <v>0.17</v>
      </c>
      <c r="K179" s="227" t="n">
        <v>-0.07</v>
      </c>
      <c r="L179" s="227" t="n">
        <v>0.005</v>
      </c>
      <c r="M179" s="227" t="n">
        <v>0.17</v>
      </c>
      <c r="N179" s="227" t="n">
        <v>-0.24</v>
      </c>
      <c r="O179" s="227" t="n">
        <v>0</v>
      </c>
      <c r="P179" s="227" t="n">
        <v>0.17</v>
      </c>
      <c r="Q179" s="227" t="n">
        <v>0</v>
      </c>
      <c r="R179" s="227" t="n">
        <v>0</v>
      </c>
      <c r="S179" s="227" t="n">
        <v>0</v>
      </c>
      <c r="T179" s="227" t="n">
        <v>0</v>
      </c>
      <c r="U179" s="227" t="n">
        <v>0</v>
      </c>
      <c r="V179" s="227" t="n">
        <v>0</v>
      </c>
      <c r="W179" s="227" t="n">
        <v>-0.708</v>
      </c>
      <c r="X179" s="227" t="n">
        <v>0.0049714085819827</v>
      </c>
      <c r="Y179" s="227" t="n">
        <v>0</v>
      </c>
      <c r="Z179" s="227" t="n">
        <v>0.06</v>
      </c>
      <c r="AA179" s="227" t="n">
        <v>0.173</v>
      </c>
      <c r="AB179" s="227" t="n">
        <v>0</v>
      </c>
      <c r="AC179" s="227" t="n">
        <v>0</v>
      </c>
      <c r="AD179" s="226" t="n">
        <v>0.35</v>
      </c>
      <c r="AE179" s="227" t="n">
        <v>0</v>
      </c>
      <c r="AF179" s="227" t="n">
        <v>0.17</v>
      </c>
      <c r="AG179" s="227" t="n">
        <v>0.57</v>
      </c>
      <c r="AH179" s="227" t="n">
        <v>0</v>
      </c>
      <c r="AI179" s="227" t="n">
        <v>0.37</v>
      </c>
      <c r="AJ179" s="227" t="n">
        <v>0</v>
      </c>
    </row>
    <row r="180" customFormat="false" ht="12.75" hidden="false" customHeight="false" outlineLevel="0" collapsed="false">
      <c r="D180" s="226" t="n">
        <v>42461</v>
      </c>
      <c r="E180" s="227" t="n">
        <v>0.0529443687689448</v>
      </c>
      <c r="F180" s="227" t="n">
        <v>5.003</v>
      </c>
      <c r="G180" s="227" t="n">
        <v>0.17</v>
      </c>
      <c r="H180" s="227" t="n">
        <v>-0.2</v>
      </c>
      <c r="I180" s="227" t="n">
        <v>0</v>
      </c>
      <c r="J180" s="227" t="n">
        <v>0.17</v>
      </c>
      <c r="K180" s="227" t="n">
        <v>-0.07</v>
      </c>
      <c r="L180" s="227" t="n">
        <v>0.005</v>
      </c>
      <c r="M180" s="227" t="n">
        <v>0.17</v>
      </c>
      <c r="N180" s="227" t="n">
        <v>-0.32</v>
      </c>
      <c r="O180" s="227" t="n">
        <v>0</v>
      </c>
      <c r="P180" s="227" t="n">
        <v>0.17</v>
      </c>
      <c r="Q180" s="227" t="n">
        <v>0</v>
      </c>
      <c r="R180" s="227" t="n">
        <v>0</v>
      </c>
      <c r="S180" s="227" t="n">
        <v>0</v>
      </c>
      <c r="T180" s="227" t="n">
        <v>0</v>
      </c>
      <c r="U180" s="227" t="n">
        <v>0</v>
      </c>
      <c r="V180" s="227" t="n">
        <v>0</v>
      </c>
      <c r="W180" s="227" t="n">
        <v>-0.808</v>
      </c>
      <c r="X180" s="227" t="n">
        <v>0.0049685629454432</v>
      </c>
      <c r="Y180" s="227" t="n">
        <v>0</v>
      </c>
      <c r="Z180" s="227" t="n">
        <v>0.02</v>
      </c>
      <c r="AA180" s="227" t="n">
        <v>0.173</v>
      </c>
      <c r="AB180" s="227" t="n">
        <v>0</v>
      </c>
      <c r="AC180" s="227" t="n">
        <v>0</v>
      </c>
      <c r="AD180" s="226" t="n">
        <v>0.43</v>
      </c>
      <c r="AE180" s="227" t="n">
        <v>0</v>
      </c>
      <c r="AF180" s="227" t="n">
        <v>0.17</v>
      </c>
      <c r="AG180" s="227" t="n">
        <v>0.44</v>
      </c>
      <c r="AH180" s="227" t="n">
        <v>0</v>
      </c>
      <c r="AI180" s="227" t="n">
        <v>0.24</v>
      </c>
      <c r="AJ180" s="227" t="n">
        <v>0</v>
      </c>
    </row>
    <row r="181" customFormat="false" ht="12.75" hidden="false" customHeight="false" outlineLevel="0" collapsed="false">
      <c r="D181" s="226" t="n">
        <v>42491</v>
      </c>
      <c r="E181" s="227" t="n">
        <v>0.0529986178969137</v>
      </c>
      <c r="F181" s="227" t="n">
        <v>5.008</v>
      </c>
      <c r="G181" s="227" t="n">
        <v>0.17</v>
      </c>
      <c r="H181" s="227" t="n">
        <v>-0.2</v>
      </c>
      <c r="I181" s="227" t="n">
        <v>0</v>
      </c>
      <c r="J181" s="227" t="n">
        <v>0.17</v>
      </c>
      <c r="K181" s="227" t="n">
        <v>-0.07</v>
      </c>
      <c r="L181" s="227" t="n">
        <v>0.005</v>
      </c>
      <c r="M181" s="227" t="n">
        <v>0.17</v>
      </c>
      <c r="N181" s="227" t="n">
        <v>-0.32</v>
      </c>
      <c r="O181" s="227" t="n">
        <v>0</v>
      </c>
      <c r="P181" s="227" t="n">
        <v>0.17</v>
      </c>
      <c r="Q181" s="227" t="n">
        <v>0</v>
      </c>
      <c r="R181" s="227" t="n">
        <v>0</v>
      </c>
      <c r="S181" s="227" t="n">
        <v>0</v>
      </c>
      <c r="T181" s="227" t="n">
        <v>0</v>
      </c>
      <c r="U181" s="227" t="n">
        <v>0</v>
      </c>
      <c r="V181" s="227" t="n">
        <v>0</v>
      </c>
      <c r="W181" s="227" t="n">
        <v>-0.808</v>
      </c>
      <c r="X181" s="227" t="n">
        <v>0.0049657994796238</v>
      </c>
      <c r="Y181" s="227" t="n">
        <v>0</v>
      </c>
      <c r="Z181" s="227" t="n">
        <v>0.02</v>
      </c>
      <c r="AA181" s="227" t="n">
        <v>0.173</v>
      </c>
      <c r="AB181" s="227" t="n">
        <v>0</v>
      </c>
      <c r="AC181" s="227" t="n">
        <v>0</v>
      </c>
      <c r="AD181" s="226" t="n">
        <v>0.43</v>
      </c>
      <c r="AE181" s="227" t="n">
        <v>0</v>
      </c>
      <c r="AF181" s="227" t="n">
        <v>0.17</v>
      </c>
      <c r="AG181" s="227" t="n">
        <v>0.44</v>
      </c>
      <c r="AH181" s="227" t="n">
        <v>0</v>
      </c>
      <c r="AI181" s="227" t="n">
        <v>0.24</v>
      </c>
      <c r="AJ181" s="227" t="n">
        <v>0</v>
      </c>
    </row>
    <row r="182" customFormat="false" ht="12.75" hidden="false" customHeight="false" outlineLevel="0" collapsed="false">
      <c r="D182" s="226" t="n">
        <v>42522</v>
      </c>
      <c r="E182" s="227" t="n">
        <v>0.0530546753301788</v>
      </c>
      <c r="F182" s="227" t="n">
        <v>5.046</v>
      </c>
      <c r="G182" s="227" t="n">
        <v>0.17</v>
      </c>
      <c r="H182" s="227" t="n">
        <v>-0.2</v>
      </c>
      <c r="I182" s="227" t="n">
        <v>0</v>
      </c>
      <c r="J182" s="227" t="n">
        <v>0.17</v>
      </c>
      <c r="K182" s="227" t="n">
        <v>-0.07</v>
      </c>
      <c r="L182" s="227" t="n">
        <v>0.005</v>
      </c>
      <c r="M182" s="227" t="n">
        <v>0.17</v>
      </c>
      <c r="N182" s="227" t="n">
        <v>-0.32</v>
      </c>
      <c r="O182" s="227" t="n">
        <v>0</v>
      </c>
      <c r="P182" s="227" t="n">
        <v>0.17</v>
      </c>
      <c r="Q182" s="227" t="n">
        <v>0</v>
      </c>
      <c r="R182" s="227" t="n">
        <v>0</v>
      </c>
      <c r="S182" s="227" t="n">
        <v>0</v>
      </c>
      <c r="T182" s="227" t="n">
        <v>0</v>
      </c>
      <c r="U182" s="227" t="n">
        <v>0</v>
      </c>
      <c r="V182" s="227" t="n">
        <v>0</v>
      </c>
      <c r="W182" s="227" t="n">
        <v>-0.808</v>
      </c>
      <c r="X182" s="227" t="n">
        <v>0.004962933973312</v>
      </c>
      <c r="Y182" s="227" t="n">
        <v>0</v>
      </c>
      <c r="Z182" s="227" t="n">
        <v>0.02</v>
      </c>
      <c r="AA182" s="227" t="n">
        <v>0.173</v>
      </c>
      <c r="AB182" s="227" t="n">
        <v>0</v>
      </c>
      <c r="AC182" s="227" t="n">
        <v>0</v>
      </c>
      <c r="AD182" s="226" t="n">
        <v>0.43</v>
      </c>
      <c r="AE182" s="227" t="n">
        <v>0</v>
      </c>
      <c r="AF182" s="227" t="n">
        <v>0.17</v>
      </c>
      <c r="AG182" s="227" t="n">
        <v>0.44</v>
      </c>
      <c r="AH182" s="227" t="n">
        <v>0</v>
      </c>
      <c r="AI182" s="227" t="n">
        <v>0.24</v>
      </c>
      <c r="AJ182" s="227" t="n">
        <v>0</v>
      </c>
    </row>
    <row r="183" customFormat="false" ht="12.75" hidden="false" customHeight="false" outlineLevel="0" collapsed="false">
      <c r="D183" s="226" t="n">
        <v>42552</v>
      </c>
      <c r="E183" s="227" t="n">
        <v>0.0531089244601426</v>
      </c>
      <c r="F183" s="227" t="n">
        <v>5.091</v>
      </c>
      <c r="G183" s="227" t="n">
        <v>0.17</v>
      </c>
      <c r="H183" s="227" t="n">
        <v>-0.2</v>
      </c>
      <c r="I183" s="227" t="n">
        <v>0</v>
      </c>
      <c r="J183" s="227" t="n">
        <v>0.17</v>
      </c>
      <c r="K183" s="227" t="n">
        <v>-0.07</v>
      </c>
      <c r="L183" s="227" t="n">
        <v>0.005</v>
      </c>
      <c r="M183" s="227" t="n">
        <v>0.17</v>
      </c>
      <c r="N183" s="227" t="n">
        <v>-0.32</v>
      </c>
      <c r="O183" s="227" t="n">
        <v>0</v>
      </c>
      <c r="P183" s="227" t="n">
        <v>0.17</v>
      </c>
      <c r="Q183" s="227" t="n">
        <v>0</v>
      </c>
      <c r="R183" s="227" t="n">
        <v>0</v>
      </c>
      <c r="S183" s="227" t="n">
        <v>0</v>
      </c>
      <c r="T183" s="227" t="n">
        <v>0</v>
      </c>
      <c r="U183" s="227" t="n">
        <v>0</v>
      </c>
      <c r="V183" s="227" t="n">
        <v>0</v>
      </c>
      <c r="W183" s="227" t="n">
        <v>-0.808</v>
      </c>
      <c r="X183" s="227" t="n">
        <v>0.0049601513169296</v>
      </c>
      <c r="Y183" s="227" t="n">
        <v>0</v>
      </c>
      <c r="Z183" s="227" t="n">
        <v>0.02</v>
      </c>
      <c r="AA183" s="227" t="n">
        <v>0.173</v>
      </c>
      <c r="AB183" s="227" t="n">
        <v>0</v>
      </c>
      <c r="AC183" s="227" t="n">
        <v>0</v>
      </c>
      <c r="AD183" s="226" t="n">
        <v>0.43</v>
      </c>
      <c r="AE183" s="227" t="n">
        <v>0</v>
      </c>
      <c r="AF183" s="227" t="n">
        <v>0.17</v>
      </c>
      <c r="AG183" s="227" t="n">
        <v>0.44</v>
      </c>
      <c r="AH183" s="227" t="n">
        <v>0</v>
      </c>
      <c r="AI183" s="227" t="n">
        <v>0.24</v>
      </c>
      <c r="AJ183" s="227" t="n">
        <v>0</v>
      </c>
    </row>
    <row r="184" customFormat="false" ht="12.75" hidden="false" customHeight="false" outlineLevel="0" collapsed="false">
      <c r="D184" s="226" t="n">
        <v>42583</v>
      </c>
      <c r="E184" s="227" t="n">
        <v>0.0531649818954691</v>
      </c>
      <c r="F184" s="227" t="n">
        <v>5.129</v>
      </c>
      <c r="G184" s="227" t="n">
        <v>0.17</v>
      </c>
      <c r="H184" s="227" t="n">
        <v>-0.2</v>
      </c>
      <c r="I184" s="227" t="n">
        <v>0</v>
      </c>
      <c r="J184" s="227" t="n">
        <v>0.17</v>
      </c>
      <c r="K184" s="227" t="n">
        <v>-0.07</v>
      </c>
      <c r="L184" s="227" t="n">
        <v>0.005</v>
      </c>
      <c r="M184" s="227" t="n">
        <v>0.17</v>
      </c>
      <c r="N184" s="227" t="n">
        <v>-0.32</v>
      </c>
      <c r="O184" s="227" t="n">
        <v>0</v>
      </c>
      <c r="P184" s="227" t="n">
        <v>0.17</v>
      </c>
      <c r="Q184" s="227" t="n">
        <v>0</v>
      </c>
      <c r="R184" s="227" t="n">
        <v>0</v>
      </c>
      <c r="S184" s="227" t="n">
        <v>0</v>
      </c>
      <c r="T184" s="227" t="n">
        <v>0</v>
      </c>
      <c r="U184" s="227" t="n">
        <v>0</v>
      </c>
      <c r="V184" s="227" t="n">
        <v>0</v>
      </c>
      <c r="W184" s="227" t="n">
        <v>-0.808</v>
      </c>
      <c r="X184" s="227" t="n">
        <v>0.0049572660200037</v>
      </c>
      <c r="Y184" s="227" t="n">
        <v>0</v>
      </c>
      <c r="Z184" s="227" t="n">
        <v>0.02</v>
      </c>
      <c r="AA184" s="227" t="n">
        <v>0.173</v>
      </c>
      <c r="AB184" s="227" t="n">
        <v>0</v>
      </c>
      <c r="AC184" s="227" t="n">
        <v>0</v>
      </c>
      <c r="AD184" s="226" t="n">
        <v>0.43</v>
      </c>
      <c r="AE184" s="227" t="n">
        <v>0</v>
      </c>
      <c r="AF184" s="227" t="n">
        <v>0.17</v>
      </c>
      <c r="AG184" s="227" t="n">
        <v>0.44</v>
      </c>
      <c r="AH184" s="227" t="n">
        <v>0</v>
      </c>
      <c r="AI184" s="227" t="n">
        <v>0.24</v>
      </c>
      <c r="AJ184" s="227" t="n">
        <v>0</v>
      </c>
    </row>
    <row r="185" customFormat="false" ht="12.75" hidden="false" customHeight="false" outlineLevel="0" collapsed="false">
      <c r="D185" s="226" t="n">
        <v>42614</v>
      </c>
      <c r="E185" s="227" t="n">
        <v>0.0532210393318437</v>
      </c>
      <c r="F185" s="227" t="n">
        <v>5.123</v>
      </c>
      <c r="G185" s="227" t="n">
        <v>0.17</v>
      </c>
      <c r="H185" s="227" t="n">
        <v>-0.2</v>
      </c>
      <c r="I185" s="227" t="n">
        <v>0</v>
      </c>
      <c r="J185" s="227" t="n">
        <v>0.17</v>
      </c>
      <c r="K185" s="227" t="n">
        <v>-0.07</v>
      </c>
      <c r="L185" s="227" t="n">
        <v>0.005</v>
      </c>
      <c r="M185" s="227" t="n">
        <v>0.17</v>
      </c>
      <c r="N185" s="227" t="n">
        <v>-0.32</v>
      </c>
      <c r="O185" s="227" t="n">
        <v>0</v>
      </c>
      <c r="P185" s="227" t="n">
        <v>0.17</v>
      </c>
      <c r="Q185" s="227" t="n">
        <v>0</v>
      </c>
      <c r="R185" s="227" t="n">
        <v>0</v>
      </c>
      <c r="S185" s="227" t="n">
        <v>0</v>
      </c>
      <c r="T185" s="227" t="n">
        <v>0</v>
      </c>
      <c r="U185" s="227" t="n">
        <v>0</v>
      </c>
      <c r="V185" s="227" t="n">
        <v>0</v>
      </c>
      <c r="W185" s="227" t="n">
        <v>-0.808</v>
      </c>
      <c r="X185" s="227" t="n">
        <v>0.0049543706960287</v>
      </c>
      <c r="Y185" s="227" t="n">
        <v>0</v>
      </c>
      <c r="Z185" s="227" t="n">
        <v>0.02</v>
      </c>
      <c r="AA185" s="227" t="n">
        <v>0.173</v>
      </c>
      <c r="AB185" s="227" t="n">
        <v>0</v>
      </c>
      <c r="AC185" s="227" t="n">
        <v>0</v>
      </c>
      <c r="AD185" s="226" t="n">
        <v>0.43</v>
      </c>
      <c r="AE185" s="227" t="n">
        <v>0</v>
      </c>
      <c r="AF185" s="227" t="n">
        <v>0.17</v>
      </c>
      <c r="AG185" s="227" t="n">
        <v>0.44</v>
      </c>
      <c r="AH185" s="227" t="n">
        <v>0</v>
      </c>
      <c r="AI185" s="227" t="n">
        <v>0.24</v>
      </c>
      <c r="AJ185" s="227" t="n">
        <v>0</v>
      </c>
    </row>
    <row r="186" customFormat="false" ht="12.75" hidden="false" customHeight="false" outlineLevel="0" collapsed="false">
      <c r="D186" s="226" t="n">
        <v>42644</v>
      </c>
      <c r="E186" s="227" t="n">
        <v>0.0532752884648158</v>
      </c>
      <c r="F186" s="227" t="n">
        <v>5.123</v>
      </c>
      <c r="G186" s="227" t="n">
        <v>0.17</v>
      </c>
      <c r="H186" s="227" t="n">
        <v>-0.2</v>
      </c>
      <c r="I186" s="227" t="n">
        <v>0</v>
      </c>
      <c r="J186" s="227" t="n">
        <v>0.17</v>
      </c>
      <c r="K186" s="227" t="n">
        <v>-0.07</v>
      </c>
      <c r="L186" s="227" t="n">
        <v>0.005</v>
      </c>
      <c r="M186" s="227" t="n">
        <v>0.17</v>
      </c>
      <c r="N186" s="227" t="n">
        <v>-0.32</v>
      </c>
      <c r="O186" s="227" t="n">
        <v>0</v>
      </c>
      <c r="P186" s="227" t="n">
        <v>0.17</v>
      </c>
      <c r="Q186" s="227" t="n">
        <v>0</v>
      </c>
      <c r="R186" s="227" t="n">
        <v>0</v>
      </c>
      <c r="S186" s="227" t="n">
        <v>0</v>
      </c>
      <c r="T186" s="227" t="n">
        <v>0</v>
      </c>
      <c r="U186" s="227" t="n">
        <v>0</v>
      </c>
      <c r="V186" s="227" t="n">
        <v>0</v>
      </c>
      <c r="W186" s="227" t="n">
        <v>-0.808</v>
      </c>
      <c r="X186" s="227" t="n">
        <v>0.0049515592419304</v>
      </c>
      <c r="Y186" s="227" t="n">
        <v>0</v>
      </c>
      <c r="Z186" s="227" t="n">
        <v>0.02</v>
      </c>
      <c r="AA186" s="227" t="n">
        <v>0.173</v>
      </c>
      <c r="AB186" s="227" t="n">
        <v>0</v>
      </c>
      <c r="AC186" s="227" t="n">
        <v>0</v>
      </c>
      <c r="AD186" s="226" t="n">
        <v>0.43</v>
      </c>
      <c r="AE186" s="227" t="n">
        <v>0</v>
      </c>
      <c r="AF186" s="227" t="n">
        <v>0.17</v>
      </c>
      <c r="AG186" s="227" t="n">
        <v>0.44</v>
      </c>
      <c r="AH186" s="227" t="n">
        <v>0</v>
      </c>
      <c r="AI186" s="227" t="n">
        <v>0.24</v>
      </c>
      <c r="AJ186" s="227" t="n">
        <v>0</v>
      </c>
    </row>
    <row r="187" customFormat="false" ht="12.75" hidden="false" customHeight="false" outlineLevel="0" collapsed="false">
      <c r="D187" s="226" t="n">
        <v>42675</v>
      </c>
      <c r="E187" s="227" t="n">
        <v>0.0533313459032518</v>
      </c>
      <c r="F187" s="227" t="n">
        <v>5.293</v>
      </c>
      <c r="G187" s="227" t="n">
        <v>0.17</v>
      </c>
      <c r="H187" s="227" t="n">
        <v>-0.13</v>
      </c>
      <c r="I187" s="227" t="n">
        <v>0</v>
      </c>
      <c r="J187" s="227" t="n">
        <v>0.17</v>
      </c>
      <c r="K187" s="227" t="n">
        <v>-0.07</v>
      </c>
      <c r="L187" s="227" t="n">
        <v>0.005</v>
      </c>
      <c r="M187" s="227" t="n">
        <v>0.17</v>
      </c>
      <c r="N187" s="227" t="n">
        <v>-0.24</v>
      </c>
      <c r="O187" s="227" t="n">
        <v>0</v>
      </c>
      <c r="P187" s="227" t="n">
        <v>0.17</v>
      </c>
      <c r="Q187" s="227" t="n">
        <v>0</v>
      </c>
      <c r="R187" s="227" t="n">
        <v>0</v>
      </c>
      <c r="S187" s="227" t="n">
        <v>0</v>
      </c>
      <c r="T187" s="227" t="n">
        <v>0</v>
      </c>
      <c r="U187" s="227" t="n">
        <v>0</v>
      </c>
      <c r="V187" s="227" t="n">
        <v>0</v>
      </c>
      <c r="W187" s="227" t="n">
        <v>-0.708</v>
      </c>
      <c r="X187" s="227" t="n">
        <v>0.0049486442475532</v>
      </c>
      <c r="Y187" s="227" t="n">
        <v>0</v>
      </c>
      <c r="Z187" s="227" t="n">
        <v>0.06</v>
      </c>
      <c r="AA187" s="227" t="n">
        <v>0.173</v>
      </c>
      <c r="AB187" s="227" t="n">
        <v>0</v>
      </c>
      <c r="AC187" s="227" t="n">
        <v>0</v>
      </c>
      <c r="AD187" s="226" t="n">
        <v>0.35</v>
      </c>
      <c r="AE187" s="227" t="n">
        <v>0</v>
      </c>
      <c r="AF187" s="227" t="n">
        <v>0.17</v>
      </c>
      <c r="AG187" s="227" t="n">
        <v>0.5</v>
      </c>
      <c r="AH187" s="227" t="n">
        <v>0</v>
      </c>
      <c r="AI187" s="227" t="n">
        <v>0.3</v>
      </c>
      <c r="AJ187" s="227" t="n">
        <v>0</v>
      </c>
    </row>
    <row r="188" customFormat="false" ht="12.75" hidden="false" customHeight="false" outlineLevel="0" collapsed="false">
      <c r="D188" s="226" t="n">
        <v>42705</v>
      </c>
      <c r="E188" s="227" t="n">
        <v>0.0533855950382187</v>
      </c>
      <c r="F188" s="227" t="n">
        <v>5.424</v>
      </c>
      <c r="G188" s="227" t="n">
        <v>0.17</v>
      </c>
      <c r="H188" s="227" t="n">
        <v>-0.13</v>
      </c>
      <c r="I188" s="227" t="n">
        <v>0</v>
      </c>
      <c r="J188" s="227" t="n">
        <v>0.17</v>
      </c>
      <c r="K188" s="227" t="n">
        <v>-0.07</v>
      </c>
      <c r="L188" s="227" t="n">
        <v>0.005</v>
      </c>
      <c r="M188" s="227" t="n">
        <v>0.17</v>
      </c>
      <c r="N188" s="227" t="n">
        <v>-0.24</v>
      </c>
      <c r="O188" s="227" t="n">
        <v>0</v>
      </c>
      <c r="P188" s="227" t="n">
        <v>0.17</v>
      </c>
      <c r="Q188" s="227" t="n">
        <v>0</v>
      </c>
      <c r="R188" s="227" t="n">
        <v>0</v>
      </c>
      <c r="S188" s="227" t="n">
        <v>0</v>
      </c>
      <c r="T188" s="227" t="n">
        <v>0</v>
      </c>
      <c r="U188" s="227" t="n">
        <v>0</v>
      </c>
      <c r="V188" s="227" t="n">
        <v>0</v>
      </c>
      <c r="W188" s="227" t="n">
        <v>-0.708</v>
      </c>
      <c r="X188" s="227" t="n">
        <v>0.0049490129201411</v>
      </c>
      <c r="Y188" s="227" t="n">
        <v>0</v>
      </c>
      <c r="Z188" s="227" t="n">
        <v>0.06</v>
      </c>
      <c r="AA188" s="227" t="n">
        <v>0.173</v>
      </c>
      <c r="AB188" s="227" t="n">
        <v>0</v>
      </c>
      <c r="AC188" s="227" t="n">
        <v>0</v>
      </c>
      <c r="AD188" s="226" t="n">
        <v>0.35</v>
      </c>
      <c r="AE188" s="227" t="n">
        <v>0</v>
      </c>
      <c r="AF188" s="227" t="n">
        <v>0.17</v>
      </c>
      <c r="AG188" s="227" t="n">
        <v>0.57</v>
      </c>
      <c r="AH188" s="227" t="n">
        <v>0</v>
      </c>
      <c r="AI188" s="227" t="n">
        <v>0.37</v>
      </c>
      <c r="AJ188" s="227" t="n">
        <v>0</v>
      </c>
    </row>
    <row r="189" customFormat="false" ht="12.75" hidden="false" customHeight="false" outlineLevel="0" collapsed="false">
      <c r="D189" s="226" t="n">
        <v>42736</v>
      </c>
      <c r="E189" s="227" t="n">
        <v>0.0534416524787158</v>
      </c>
      <c r="F189" s="227" t="n">
        <v>5.4965</v>
      </c>
      <c r="G189" s="227" t="n">
        <v>0.17</v>
      </c>
      <c r="H189" s="227" t="n">
        <v>-0.13</v>
      </c>
      <c r="I189" s="227" t="n">
        <v>0</v>
      </c>
      <c r="J189" s="227" t="n">
        <v>0.17</v>
      </c>
      <c r="K189" s="227" t="n">
        <v>-0.07</v>
      </c>
      <c r="L189" s="227" t="n">
        <v>0.005</v>
      </c>
      <c r="M189" s="227" t="n">
        <v>0.17</v>
      </c>
      <c r="N189" s="227" t="n">
        <v>-0.24</v>
      </c>
      <c r="O189" s="227" t="n">
        <v>0</v>
      </c>
      <c r="P189" s="227" t="n">
        <v>0.17</v>
      </c>
      <c r="Q189" s="227" t="n">
        <v>0</v>
      </c>
      <c r="R189" s="227" t="n">
        <v>0</v>
      </c>
      <c r="S189" s="227" t="n">
        <v>0</v>
      </c>
      <c r="T189" s="227" t="n">
        <v>0</v>
      </c>
      <c r="U189" s="227" t="n">
        <v>0</v>
      </c>
      <c r="V189" s="227" t="n">
        <v>0</v>
      </c>
      <c r="W189" s="227" t="n">
        <v>-0.708</v>
      </c>
      <c r="X189" s="227" t="n">
        <v>0.0049494188766976</v>
      </c>
      <c r="Y189" s="227" t="n">
        <v>0</v>
      </c>
      <c r="Z189" s="227" t="n">
        <v>0.06</v>
      </c>
      <c r="AA189" s="227" t="n">
        <v>0.173</v>
      </c>
      <c r="AB189" s="227" t="n">
        <v>0</v>
      </c>
      <c r="AC189" s="227" t="n">
        <v>0</v>
      </c>
      <c r="AD189" s="226" t="n">
        <v>0.35</v>
      </c>
      <c r="AE189" s="227" t="n">
        <v>0</v>
      </c>
      <c r="AF189" s="227" t="n">
        <v>0.17</v>
      </c>
      <c r="AG189" s="227" t="n">
        <v>0.57</v>
      </c>
      <c r="AH189" s="227" t="n">
        <v>0</v>
      </c>
      <c r="AI189" s="227" t="n">
        <v>0.37</v>
      </c>
      <c r="AJ189" s="227" t="n">
        <v>0</v>
      </c>
    </row>
    <row r="190" customFormat="false" ht="12.75" hidden="false" customHeight="false" outlineLevel="0" collapsed="false">
      <c r="D190" s="226" t="n">
        <v>42767</v>
      </c>
      <c r="E190" s="227" t="n">
        <v>0.0534977099202596</v>
      </c>
      <c r="F190" s="227" t="n">
        <v>5.4085</v>
      </c>
      <c r="G190" s="227" t="n">
        <v>0.17</v>
      </c>
      <c r="H190" s="227" t="n">
        <v>-0.13</v>
      </c>
      <c r="I190" s="227" t="n">
        <v>0</v>
      </c>
      <c r="J190" s="227" t="n">
        <v>0.17</v>
      </c>
      <c r="K190" s="227" t="n">
        <v>-0.07</v>
      </c>
      <c r="L190" s="227" t="n">
        <v>0.005</v>
      </c>
      <c r="M190" s="227" t="n">
        <v>0.17</v>
      </c>
      <c r="N190" s="227" t="n">
        <v>-0.24</v>
      </c>
      <c r="O190" s="227" t="n">
        <v>0</v>
      </c>
      <c r="P190" s="227" t="n">
        <v>0.17</v>
      </c>
      <c r="Q190" s="227" t="n">
        <v>0</v>
      </c>
      <c r="R190" s="227" t="n">
        <v>0</v>
      </c>
      <c r="S190" s="227" t="n">
        <v>0</v>
      </c>
      <c r="T190" s="227" t="n">
        <v>0</v>
      </c>
      <c r="U190" s="227" t="n">
        <v>0</v>
      </c>
      <c r="V190" s="227" t="n">
        <v>0</v>
      </c>
      <c r="W190" s="227" t="n">
        <v>-0.708</v>
      </c>
      <c r="X190" s="227" t="n">
        <v>0.0049498502425872</v>
      </c>
      <c r="Y190" s="227" t="n">
        <v>0</v>
      </c>
      <c r="Z190" s="227" t="n">
        <v>0.06</v>
      </c>
      <c r="AA190" s="227" t="n">
        <v>0.173</v>
      </c>
      <c r="AB190" s="227" t="n">
        <v>0</v>
      </c>
      <c r="AC190" s="227" t="n">
        <v>0</v>
      </c>
      <c r="AD190" s="226" t="n">
        <v>0.35</v>
      </c>
      <c r="AE190" s="227" t="n">
        <v>0</v>
      </c>
      <c r="AF190" s="227" t="n">
        <v>0.17</v>
      </c>
      <c r="AG190" s="227" t="n">
        <v>0.57</v>
      </c>
      <c r="AH190" s="227" t="n">
        <v>0</v>
      </c>
      <c r="AI190" s="227" t="n">
        <v>0.37</v>
      </c>
      <c r="AJ190" s="227" t="n">
        <v>0</v>
      </c>
    </row>
    <row r="191" customFormat="false" ht="12.75" hidden="false" customHeight="false" outlineLevel="0" collapsed="false">
      <c r="D191" s="226" t="n">
        <v>42795</v>
      </c>
      <c r="E191" s="227" t="n">
        <v>0.0535483424490066</v>
      </c>
      <c r="F191" s="227" t="n">
        <v>5.2695</v>
      </c>
      <c r="G191" s="227" t="n">
        <v>0.17</v>
      </c>
      <c r="H191" s="227" t="n">
        <v>-0.13</v>
      </c>
      <c r="I191" s="227" t="n">
        <v>0</v>
      </c>
      <c r="J191" s="227" t="n">
        <v>0.17</v>
      </c>
      <c r="K191" s="227" t="n">
        <v>-0.07</v>
      </c>
      <c r="L191" s="227" t="n">
        <v>0.005</v>
      </c>
      <c r="M191" s="227" t="n">
        <v>0.17</v>
      </c>
      <c r="N191" s="227" t="n">
        <v>-0.24</v>
      </c>
      <c r="O191" s="227" t="n">
        <v>0</v>
      </c>
      <c r="P191" s="227" t="n">
        <v>0.17</v>
      </c>
      <c r="Q191" s="227" t="n">
        <v>0</v>
      </c>
      <c r="R191" s="227" t="n">
        <v>0</v>
      </c>
      <c r="S191" s="227" t="n">
        <v>0</v>
      </c>
      <c r="T191" s="227" t="n">
        <v>0</v>
      </c>
      <c r="U191" s="227" t="n">
        <v>0</v>
      </c>
      <c r="V191" s="227" t="n">
        <v>0</v>
      </c>
      <c r="W191" s="227" t="n">
        <v>-0.708</v>
      </c>
      <c r="X191" s="227" t="n">
        <v>0.00495026170752</v>
      </c>
      <c r="Y191" s="227" t="n">
        <v>0</v>
      </c>
      <c r="Z191" s="227" t="n">
        <v>0.06</v>
      </c>
      <c r="AA191" s="227" t="n">
        <v>0.173</v>
      </c>
      <c r="AB191" s="227" t="n">
        <v>0</v>
      </c>
      <c r="AC191" s="227" t="n">
        <v>0</v>
      </c>
      <c r="AD191" s="226" t="n">
        <v>0.35</v>
      </c>
      <c r="AE191" s="227" t="n">
        <v>0</v>
      </c>
      <c r="AF191" s="227" t="n">
        <v>0.17</v>
      </c>
      <c r="AG191" s="227" t="n">
        <v>0.57</v>
      </c>
      <c r="AH191" s="227" t="n">
        <v>0</v>
      </c>
      <c r="AI191" s="227" t="n">
        <v>0.37</v>
      </c>
      <c r="AJ191" s="227" t="n">
        <v>0</v>
      </c>
    </row>
    <row r="192" customFormat="false" ht="12.75" hidden="false" customHeight="false" outlineLevel="0" collapsed="false">
      <c r="D192" s="226" t="n">
        <v>42826</v>
      </c>
      <c r="E192" s="227" t="n">
        <v>0.0536043998925444</v>
      </c>
      <c r="F192" s="227" t="n">
        <v>5.1155</v>
      </c>
      <c r="G192" s="227" t="n">
        <v>0.17</v>
      </c>
      <c r="H192" s="227" t="n">
        <v>-0.2</v>
      </c>
      <c r="I192" s="227" t="n">
        <v>0</v>
      </c>
      <c r="J192" s="227" t="n">
        <v>0.17</v>
      </c>
      <c r="K192" s="227" t="n">
        <v>-0.07</v>
      </c>
      <c r="L192" s="227" t="n">
        <v>0.005</v>
      </c>
      <c r="M192" s="227" t="n">
        <v>0.17</v>
      </c>
      <c r="N192" s="227" t="n">
        <v>-0.32</v>
      </c>
      <c r="O192" s="227" t="n">
        <v>0</v>
      </c>
      <c r="P192" s="227" t="n">
        <v>0.17</v>
      </c>
      <c r="Q192" s="227" t="n">
        <v>0</v>
      </c>
      <c r="R192" s="227" t="n">
        <v>0</v>
      </c>
      <c r="S192" s="227" t="n">
        <v>0</v>
      </c>
      <c r="T192" s="227" t="n">
        <v>0</v>
      </c>
      <c r="U192" s="227" t="n">
        <v>0</v>
      </c>
      <c r="V192" s="227" t="n">
        <v>0</v>
      </c>
      <c r="W192" s="227" t="n">
        <v>-0.808</v>
      </c>
      <c r="X192" s="227" t="n">
        <v>0.0049507414476268</v>
      </c>
      <c r="Y192" s="227" t="n">
        <v>0</v>
      </c>
      <c r="Z192" s="227" t="n">
        <v>0.02</v>
      </c>
      <c r="AA192" s="227" t="n">
        <v>0.173</v>
      </c>
      <c r="AB192" s="227" t="n">
        <v>0</v>
      </c>
      <c r="AC192" s="227" t="n">
        <v>0</v>
      </c>
      <c r="AD192" s="226" t="n">
        <v>0.43</v>
      </c>
      <c r="AE192" s="227" t="n">
        <v>0</v>
      </c>
      <c r="AF192" s="227" t="n">
        <v>0.17</v>
      </c>
      <c r="AG192" s="227" t="n">
        <v>0.44</v>
      </c>
      <c r="AH192" s="227" t="n">
        <v>0</v>
      </c>
      <c r="AI192" s="227" t="n">
        <v>0.24</v>
      </c>
      <c r="AJ192" s="227" t="n">
        <v>0</v>
      </c>
    </row>
    <row r="193" customFormat="false" ht="12.75" hidden="false" customHeight="false" outlineLevel="0" collapsed="false">
      <c r="D193" s="226" t="n">
        <v>42856</v>
      </c>
      <c r="E193" s="227" t="n">
        <v>0.0536586490324491</v>
      </c>
      <c r="F193" s="227" t="n">
        <v>5.1205</v>
      </c>
      <c r="G193" s="227" t="n">
        <v>0.17</v>
      </c>
      <c r="H193" s="227" t="n">
        <v>-0.2</v>
      </c>
      <c r="I193" s="227" t="n">
        <v>0</v>
      </c>
      <c r="J193" s="227" t="n">
        <v>0.17</v>
      </c>
      <c r="K193" s="227" t="n">
        <v>-0.07</v>
      </c>
      <c r="L193" s="227" t="n">
        <v>0.005</v>
      </c>
      <c r="M193" s="227" t="n">
        <v>0.17</v>
      </c>
      <c r="N193" s="227" t="n">
        <v>-0.32</v>
      </c>
      <c r="O193" s="227" t="n">
        <v>0</v>
      </c>
      <c r="P193" s="227" t="n">
        <v>0.17</v>
      </c>
      <c r="Q193" s="227" t="n">
        <v>0</v>
      </c>
      <c r="R193" s="227" t="n">
        <v>0</v>
      </c>
      <c r="S193" s="227" t="n">
        <v>0</v>
      </c>
      <c r="T193" s="227" t="n">
        <v>0</v>
      </c>
      <c r="U193" s="227" t="n">
        <v>0</v>
      </c>
      <c r="V193" s="227" t="n">
        <v>0</v>
      </c>
      <c r="W193" s="227" t="n">
        <v>-0.808</v>
      </c>
      <c r="X193" s="227" t="n">
        <v>0.0049512299204827</v>
      </c>
      <c r="Y193" s="227" t="n">
        <v>0</v>
      </c>
      <c r="Z193" s="227" t="n">
        <v>0.02</v>
      </c>
      <c r="AA193" s="227" t="n">
        <v>0.173</v>
      </c>
      <c r="AB193" s="227" t="n">
        <v>0</v>
      </c>
      <c r="AC193" s="227" t="n">
        <v>0</v>
      </c>
      <c r="AD193" s="226" t="n">
        <v>0.43</v>
      </c>
      <c r="AE193" s="227" t="n">
        <v>0</v>
      </c>
      <c r="AF193" s="227" t="n">
        <v>0.17</v>
      </c>
      <c r="AG193" s="227" t="n">
        <v>0.44</v>
      </c>
      <c r="AH193" s="227" t="n">
        <v>0</v>
      </c>
      <c r="AI193" s="227" t="n">
        <v>0.24</v>
      </c>
      <c r="AJ193" s="227" t="n">
        <v>0</v>
      </c>
    </row>
    <row r="194" customFormat="false" ht="12.75" hidden="false" customHeight="false" outlineLevel="0" collapsed="false">
      <c r="D194" s="226" t="n">
        <v>42887</v>
      </c>
      <c r="E194" s="227" t="n">
        <v>0.0537147064780479</v>
      </c>
      <c r="F194" s="227" t="n">
        <v>5.1585</v>
      </c>
      <c r="G194" s="227" t="n">
        <v>0.17</v>
      </c>
      <c r="H194" s="227" t="n">
        <v>-0.2</v>
      </c>
      <c r="I194" s="227" t="n">
        <v>0</v>
      </c>
      <c r="J194" s="227" t="n">
        <v>0.17</v>
      </c>
      <c r="K194" s="227" t="n">
        <v>-0.07</v>
      </c>
      <c r="L194" s="227" t="n">
        <v>0.005</v>
      </c>
      <c r="M194" s="227" t="n">
        <v>0.17</v>
      </c>
      <c r="N194" s="227" t="n">
        <v>-0.32</v>
      </c>
      <c r="O194" s="227" t="n">
        <v>0</v>
      </c>
      <c r="P194" s="227" t="n">
        <v>0.17</v>
      </c>
      <c r="Q194" s="227" t="n">
        <v>0</v>
      </c>
      <c r="R194" s="227" t="n">
        <v>0</v>
      </c>
      <c r="S194" s="227" t="n">
        <v>0</v>
      </c>
      <c r="T194" s="227" t="n">
        <v>0</v>
      </c>
      <c r="U194" s="227" t="n">
        <v>0</v>
      </c>
      <c r="V194" s="227" t="n">
        <v>0</v>
      </c>
      <c r="W194" s="227" t="n">
        <v>-0.808</v>
      </c>
      <c r="X194" s="227" t="n">
        <v>0.0049517596970439</v>
      </c>
      <c r="Y194" s="227" t="n">
        <v>0</v>
      </c>
      <c r="Z194" s="227" t="n">
        <v>0.02</v>
      </c>
      <c r="AA194" s="227" t="n">
        <v>0.173</v>
      </c>
      <c r="AB194" s="227" t="n">
        <v>0</v>
      </c>
      <c r="AC194" s="227" t="n">
        <v>0</v>
      </c>
      <c r="AD194" s="226" t="n">
        <v>0.43</v>
      </c>
      <c r="AE194" s="227" t="n">
        <v>0</v>
      </c>
      <c r="AF194" s="227" t="n">
        <v>0.17</v>
      </c>
      <c r="AG194" s="227" t="n">
        <v>0.44</v>
      </c>
      <c r="AH194" s="227" t="n">
        <v>0</v>
      </c>
      <c r="AI194" s="227" t="n">
        <v>0.24</v>
      </c>
      <c r="AJ194" s="227" t="n">
        <v>0</v>
      </c>
    </row>
    <row r="195" customFormat="false" ht="12.75" hidden="false" customHeight="false" outlineLevel="0" collapsed="false">
      <c r="D195" s="226" t="n">
        <v>42917</v>
      </c>
      <c r="E195" s="227" t="n">
        <v>0.0537689556199465</v>
      </c>
      <c r="F195" s="227" t="n">
        <v>5.2035</v>
      </c>
      <c r="G195" s="227" t="n">
        <v>0.17</v>
      </c>
      <c r="H195" s="227" t="n">
        <v>-0.2</v>
      </c>
      <c r="I195" s="227" t="n">
        <v>0</v>
      </c>
      <c r="J195" s="227" t="n">
        <v>0.17</v>
      </c>
      <c r="K195" s="227" t="n">
        <v>-0.07</v>
      </c>
      <c r="L195" s="227" t="n">
        <v>0.005</v>
      </c>
      <c r="M195" s="227" t="n">
        <v>0.17</v>
      </c>
      <c r="N195" s="227" t="n">
        <v>-0.32</v>
      </c>
      <c r="O195" s="227" t="n">
        <v>0</v>
      </c>
      <c r="P195" s="227" t="n">
        <v>0.17</v>
      </c>
      <c r="Q195" s="227" t="n">
        <v>0</v>
      </c>
      <c r="R195" s="227" t="n">
        <v>0</v>
      </c>
      <c r="S195" s="227" t="n">
        <v>0</v>
      </c>
      <c r="T195" s="227" t="n">
        <v>0</v>
      </c>
      <c r="U195" s="227" t="n">
        <v>0</v>
      </c>
      <c r="V195" s="227" t="n">
        <v>0</v>
      </c>
      <c r="W195" s="227" t="n">
        <v>-0.808</v>
      </c>
      <c r="X195" s="227" t="n">
        <v>0.0049522966043749</v>
      </c>
      <c r="Y195" s="227" t="n">
        <v>0</v>
      </c>
      <c r="Z195" s="227" t="n">
        <v>0.02</v>
      </c>
      <c r="AA195" s="227" t="n">
        <v>0.173</v>
      </c>
      <c r="AB195" s="227" t="n">
        <v>0</v>
      </c>
      <c r="AC195" s="227" t="n">
        <v>0</v>
      </c>
      <c r="AD195" s="226" t="n">
        <v>0.43</v>
      </c>
      <c r="AE195" s="227" t="n">
        <v>0</v>
      </c>
      <c r="AF195" s="227" t="n">
        <v>0.17</v>
      </c>
      <c r="AG195" s="227" t="n">
        <v>0.44</v>
      </c>
      <c r="AH195" s="227" t="n">
        <v>0</v>
      </c>
      <c r="AI195" s="227" t="n">
        <v>0.24</v>
      </c>
      <c r="AJ195" s="227" t="n">
        <v>0</v>
      </c>
    </row>
    <row r="196" customFormat="false" ht="12.75" hidden="false" customHeight="false" outlineLevel="0" collapsed="false">
      <c r="D196" s="226" t="n">
        <v>42948</v>
      </c>
      <c r="E196" s="227" t="n">
        <v>0.0538250130676063</v>
      </c>
      <c r="F196" s="227" t="n">
        <v>5.2415</v>
      </c>
      <c r="G196" s="227" t="n">
        <v>0.17</v>
      </c>
      <c r="H196" s="227" t="n">
        <v>-0.2</v>
      </c>
      <c r="I196" s="227" t="n">
        <v>0</v>
      </c>
      <c r="J196" s="227" t="n">
        <v>0.17</v>
      </c>
      <c r="K196" s="227" t="n">
        <v>-0.07</v>
      </c>
      <c r="L196" s="227" t="n">
        <v>0.005</v>
      </c>
      <c r="M196" s="227" t="n">
        <v>0.17</v>
      </c>
      <c r="N196" s="227" t="n">
        <v>-0.32</v>
      </c>
      <c r="O196" s="227" t="n">
        <v>0</v>
      </c>
      <c r="P196" s="227" t="n">
        <v>0.17</v>
      </c>
      <c r="Q196" s="227" t="n">
        <v>0</v>
      </c>
      <c r="R196" s="227" t="n">
        <v>0</v>
      </c>
      <c r="S196" s="227" t="n">
        <v>0</v>
      </c>
      <c r="T196" s="227" t="n">
        <v>0</v>
      </c>
      <c r="U196" s="227" t="n">
        <v>0</v>
      </c>
      <c r="V196" s="227" t="n">
        <v>0</v>
      </c>
      <c r="W196" s="227" t="n">
        <v>-0.808</v>
      </c>
      <c r="X196" s="227" t="n">
        <v>0.0049528764431466</v>
      </c>
      <c r="Y196" s="227" t="n">
        <v>0</v>
      </c>
      <c r="Z196" s="227" t="n">
        <v>0.02</v>
      </c>
      <c r="AA196" s="227" t="n">
        <v>0.173</v>
      </c>
      <c r="AB196" s="227" t="n">
        <v>0</v>
      </c>
      <c r="AC196" s="227" t="n">
        <v>0</v>
      </c>
      <c r="AD196" s="226" t="n">
        <v>0.43</v>
      </c>
      <c r="AE196" s="227" t="n">
        <v>0</v>
      </c>
      <c r="AF196" s="227" t="n">
        <v>0.17</v>
      </c>
      <c r="AG196" s="227" t="n">
        <v>0.44</v>
      </c>
      <c r="AH196" s="227" t="n">
        <v>0</v>
      </c>
      <c r="AI196" s="227" t="n">
        <v>0.24</v>
      </c>
      <c r="AJ196" s="227" t="n">
        <v>0</v>
      </c>
    </row>
    <row r="197" customFormat="false" ht="12.75" hidden="false" customHeight="false" outlineLevel="0" collapsed="false">
      <c r="D197" s="226" t="n">
        <v>42979</v>
      </c>
      <c r="E197" s="227" t="n">
        <v>0.0538810705163129</v>
      </c>
      <c r="F197" s="227" t="n">
        <v>5.2355</v>
      </c>
      <c r="G197" s="227" t="n">
        <v>0.17</v>
      </c>
      <c r="H197" s="227" t="n">
        <v>-0.2</v>
      </c>
      <c r="I197" s="227" t="n">
        <v>0</v>
      </c>
      <c r="J197" s="227" t="n">
        <v>0.17</v>
      </c>
      <c r="K197" s="227" t="n">
        <v>-0.07</v>
      </c>
      <c r="L197" s="227" t="n">
        <v>0.005</v>
      </c>
      <c r="M197" s="227" t="n">
        <v>0.17</v>
      </c>
      <c r="N197" s="227" t="n">
        <v>-0.32</v>
      </c>
      <c r="O197" s="227" t="n">
        <v>0</v>
      </c>
      <c r="P197" s="227" t="n">
        <v>0.17</v>
      </c>
      <c r="Q197" s="227" t="n">
        <v>0</v>
      </c>
      <c r="R197" s="227" t="n">
        <v>0</v>
      </c>
      <c r="S197" s="227" t="n">
        <v>0</v>
      </c>
      <c r="T197" s="227" t="n">
        <v>0</v>
      </c>
      <c r="U197" s="227" t="n">
        <v>0</v>
      </c>
      <c r="V197" s="227" t="n">
        <v>0</v>
      </c>
      <c r="W197" s="227" t="n">
        <v>-0.808</v>
      </c>
      <c r="X197" s="227" t="n">
        <v>0.0049534817341958</v>
      </c>
      <c r="Y197" s="227" t="n">
        <v>0</v>
      </c>
      <c r="Z197" s="227" t="n">
        <v>0.02</v>
      </c>
      <c r="AA197" s="227" t="n">
        <v>0.173</v>
      </c>
      <c r="AB197" s="227" t="n">
        <v>0</v>
      </c>
      <c r="AC197" s="227" t="n">
        <v>0</v>
      </c>
      <c r="AD197" s="226" t="n">
        <v>0.43</v>
      </c>
      <c r="AE197" s="227" t="n">
        <v>0</v>
      </c>
      <c r="AF197" s="227" t="n">
        <v>0.17</v>
      </c>
      <c r="AG197" s="227" t="n">
        <v>0.44</v>
      </c>
      <c r="AH197" s="227" t="n">
        <v>0</v>
      </c>
      <c r="AI197" s="227" t="n">
        <v>0.24</v>
      </c>
      <c r="AJ197" s="227" t="n">
        <v>0</v>
      </c>
    </row>
    <row r="198" customFormat="false" ht="12.75" hidden="false" customHeight="false" outlineLevel="0" collapsed="false">
      <c r="D198" s="226" t="n">
        <v>43009</v>
      </c>
      <c r="E198" s="227" t="n">
        <v>0.0539353196612198</v>
      </c>
      <c r="F198" s="227" t="n">
        <v>5.2355</v>
      </c>
      <c r="G198" s="227" t="n">
        <v>0.17</v>
      </c>
      <c r="H198" s="227" t="n">
        <v>-0.2</v>
      </c>
      <c r="I198" s="227" t="n">
        <v>0</v>
      </c>
      <c r="J198" s="227" t="n">
        <v>0.17</v>
      </c>
      <c r="K198" s="227" t="n">
        <v>-0.07</v>
      </c>
      <c r="L198" s="227" t="n">
        <v>0.005</v>
      </c>
      <c r="M198" s="227" t="n">
        <v>0.17</v>
      </c>
      <c r="N198" s="227" t="n">
        <v>-0.32</v>
      </c>
      <c r="O198" s="227" t="n">
        <v>0</v>
      </c>
      <c r="P198" s="227" t="n">
        <v>0.17</v>
      </c>
      <c r="Q198" s="227" t="n">
        <v>0</v>
      </c>
      <c r="R198" s="227" t="n">
        <v>0</v>
      </c>
      <c r="S198" s="227" t="n">
        <v>0</v>
      </c>
      <c r="T198" s="227" t="n">
        <v>0</v>
      </c>
      <c r="U198" s="227" t="n">
        <v>0</v>
      </c>
      <c r="V198" s="227" t="n">
        <v>0</v>
      </c>
      <c r="W198" s="227" t="n">
        <v>-0.808</v>
      </c>
      <c r="X198" s="227" t="n">
        <v>0.0049540917410427</v>
      </c>
      <c r="Y198" s="227" t="n">
        <v>0</v>
      </c>
      <c r="Z198" s="227" t="n">
        <v>0.02</v>
      </c>
      <c r="AA198" s="227" t="n">
        <v>0.173</v>
      </c>
      <c r="AB198" s="227" t="n">
        <v>0</v>
      </c>
      <c r="AC198" s="227" t="n">
        <v>0</v>
      </c>
      <c r="AD198" s="226" t="n">
        <v>0.43</v>
      </c>
      <c r="AE198" s="227" t="n">
        <v>0</v>
      </c>
      <c r="AF198" s="227" t="n">
        <v>0.17</v>
      </c>
      <c r="AG198" s="227" t="n">
        <v>0.44</v>
      </c>
      <c r="AH198" s="227" t="n">
        <v>0</v>
      </c>
      <c r="AI198" s="227" t="n">
        <v>0.24</v>
      </c>
      <c r="AJ198" s="227" t="n">
        <v>0</v>
      </c>
    </row>
    <row r="199" customFormat="false" ht="12.75" hidden="false" customHeight="false" outlineLevel="0" collapsed="false">
      <c r="D199" s="226" t="n">
        <v>43040</v>
      </c>
      <c r="E199" s="227" t="n">
        <v>0.0539913771119869</v>
      </c>
      <c r="F199" s="227" t="n">
        <v>5.4055</v>
      </c>
      <c r="G199" s="227" t="n">
        <v>0.17</v>
      </c>
      <c r="H199" s="227" t="n">
        <v>-0.13</v>
      </c>
      <c r="I199" s="227" t="n">
        <v>0</v>
      </c>
      <c r="J199" s="227" t="n">
        <v>0.17</v>
      </c>
      <c r="K199" s="227" t="n">
        <v>-0.07</v>
      </c>
      <c r="L199" s="227" t="n">
        <v>0.005</v>
      </c>
      <c r="M199" s="227" t="n">
        <v>0.17</v>
      </c>
      <c r="N199" s="227" t="n">
        <v>-0.24</v>
      </c>
      <c r="O199" s="227" t="n">
        <v>0</v>
      </c>
      <c r="P199" s="227" t="n">
        <v>0.17</v>
      </c>
      <c r="Q199" s="227" t="n">
        <v>0</v>
      </c>
      <c r="R199" s="227" t="n">
        <v>0</v>
      </c>
      <c r="S199" s="227" t="n">
        <v>0</v>
      </c>
      <c r="T199" s="227" t="n">
        <v>0</v>
      </c>
      <c r="U199" s="227" t="n">
        <v>0</v>
      </c>
      <c r="V199" s="227" t="n">
        <v>0</v>
      </c>
      <c r="W199" s="227" t="n">
        <v>-0.708</v>
      </c>
      <c r="X199" s="227" t="n">
        <v>0.0049547471387912</v>
      </c>
      <c r="Y199" s="227" t="n">
        <v>0</v>
      </c>
      <c r="Z199" s="227" t="n">
        <v>0.06</v>
      </c>
      <c r="AA199" s="227" t="n">
        <v>0.173</v>
      </c>
      <c r="AB199" s="227" t="n">
        <v>0</v>
      </c>
      <c r="AC199" s="227" t="n">
        <v>0</v>
      </c>
      <c r="AD199" s="226" t="n">
        <v>0.35</v>
      </c>
      <c r="AE199" s="227" t="n">
        <v>0</v>
      </c>
      <c r="AF199" s="227" t="n">
        <v>0.17</v>
      </c>
      <c r="AG199" s="227" t="n">
        <v>0.5</v>
      </c>
      <c r="AH199" s="227" t="n">
        <v>0</v>
      </c>
      <c r="AI199" s="227" t="n">
        <v>0.3</v>
      </c>
      <c r="AJ199" s="227" t="n">
        <v>0</v>
      </c>
    </row>
    <row r="200" customFormat="false" ht="12.75" hidden="false" customHeight="false" outlineLevel="0" collapsed="false">
      <c r="D200" s="226" t="n">
        <v>43070</v>
      </c>
      <c r="E200" s="227" t="n">
        <v>0.0540456262588878</v>
      </c>
      <c r="F200" s="227" t="n">
        <v>5.5365</v>
      </c>
      <c r="G200" s="227" t="n">
        <v>0.17</v>
      </c>
      <c r="H200" s="227" t="n">
        <v>-0.13</v>
      </c>
      <c r="I200" s="227" t="n">
        <v>0</v>
      </c>
      <c r="J200" s="227" t="n">
        <v>0.17</v>
      </c>
      <c r="K200" s="227" t="n">
        <v>-0.07</v>
      </c>
      <c r="L200" s="227" t="n">
        <v>0.005</v>
      </c>
      <c r="M200" s="227" t="n">
        <v>0.17</v>
      </c>
      <c r="N200" s="227" t="n">
        <v>-0.24</v>
      </c>
      <c r="O200" s="227" t="n">
        <v>0</v>
      </c>
      <c r="P200" s="227" t="n">
        <v>0.17</v>
      </c>
      <c r="Q200" s="227" t="n">
        <v>0</v>
      </c>
      <c r="R200" s="227" t="n">
        <v>0</v>
      </c>
      <c r="S200" s="227" t="n">
        <v>0</v>
      </c>
      <c r="T200" s="227" t="n">
        <v>0</v>
      </c>
      <c r="U200" s="227" t="n">
        <v>0</v>
      </c>
      <c r="V200" s="227" t="n">
        <v>0</v>
      </c>
      <c r="W200" s="227" t="n">
        <v>-0.708</v>
      </c>
      <c r="X200" s="227" t="n">
        <v>0.0049554056517143</v>
      </c>
      <c r="Y200" s="227" t="n">
        <v>0</v>
      </c>
      <c r="Z200" s="227" t="n">
        <v>0.06</v>
      </c>
      <c r="AA200" s="227" t="n">
        <v>0.173</v>
      </c>
      <c r="AB200" s="227" t="n">
        <v>0</v>
      </c>
      <c r="AC200" s="227" t="n">
        <v>0</v>
      </c>
      <c r="AD200" s="226" t="n">
        <v>0.35</v>
      </c>
      <c r="AE200" s="227" t="n">
        <v>0</v>
      </c>
      <c r="AF200" s="227" t="n">
        <v>0.17</v>
      </c>
      <c r="AG200" s="227" t="n">
        <v>0.57</v>
      </c>
      <c r="AH200" s="227" t="n">
        <v>0</v>
      </c>
      <c r="AI200" s="227" t="n">
        <v>0.37</v>
      </c>
      <c r="AJ200" s="227" t="n">
        <v>0</v>
      </c>
    </row>
    <row r="201" customFormat="false" ht="12.75" hidden="false" customHeight="false" outlineLevel="0" collapsed="false">
      <c r="D201" s="226" t="n">
        <v>43101</v>
      </c>
      <c r="E201" s="227" t="n">
        <v>0.0541016837117154</v>
      </c>
      <c r="F201" s="227" t="n">
        <v>5.609</v>
      </c>
      <c r="G201" s="227" t="n">
        <v>0.17</v>
      </c>
      <c r="H201" s="227" t="n">
        <v>-0.13</v>
      </c>
      <c r="I201" s="227" t="n">
        <v>0</v>
      </c>
      <c r="J201" s="227" t="n">
        <v>0.17</v>
      </c>
      <c r="K201" s="227" t="n">
        <v>-0.07</v>
      </c>
      <c r="L201" s="227" t="n">
        <v>0.005</v>
      </c>
      <c r="M201" s="227" t="n">
        <v>0.17</v>
      </c>
      <c r="N201" s="227" t="n">
        <v>-0.24</v>
      </c>
      <c r="O201" s="227" t="n">
        <v>0</v>
      </c>
      <c r="P201" s="227" t="n">
        <v>0.17</v>
      </c>
      <c r="Q201" s="227" t="n">
        <v>0</v>
      </c>
      <c r="R201" s="227" t="n">
        <v>0</v>
      </c>
      <c r="S201" s="227" t="n">
        <v>0</v>
      </c>
      <c r="T201" s="227" t="n">
        <v>0</v>
      </c>
      <c r="U201" s="227" t="n">
        <v>0</v>
      </c>
      <c r="V201" s="227" t="n">
        <v>0</v>
      </c>
      <c r="W201" s="227" t="n">
        <v>-0.708</v>
      </c>
      <c r="X201" s="227" t="n">
        <v>0.0049561111894055</v>
      </c>
      <c r="Y201" s="227" t="n">
        <v>0</v>
      </c>
      <c r="Z201" s="227" t="n">
        <v>0.06</v>
      </c>
      <c r="AA201" s="227" t="n">
        <v>0.173</v>
      </c>
      <c r="AB201" s="227" t="n">
        <v>0</v>
      </c>
      <c r="AC201" s="227" t="n">
        <v>0</v>
      </c>
      <c r="AD201" s="226" t="n">
        <v>0.35</v>
      </c>
      <c r="AE201" s="227" t="n">
        <v>0</v>
      </c>
      <c r="AF201" s="227" t="n">
        <v>0.17</v>
      </c>
      <c r="AG201" s="227" t="n">
        <v>0.57</v>
      </c>
      <c r="AH201" s="227" t="n">
        <v>0</v>
      </c>
      <c r="AI201" s="227" t="n">
        <v>0.37</v>
      </c>
      <c r="AJ201" s="227" t="n">
        <v>0</v>
      </c>
    </row>
    <row r="202" customFormat="false" ht="12.75" hidden="false" customHeight="false" outlineLevel="0" collapsed="false">
      <c r="D202" s="226" t="n">
        <v>43132</v>
      </c>
      <c r="E202" s="227" t="n">
        <v>0.0541577411655902</v>
      </c>
      <c r="F202" s="227" t="n">
        <v>5.521</v>
      </c>
      <c r="G202" s="227" t="n">
        <v>0.17</v>
      </c>
      <c r="H202" s="227" t="n">
        <v>-0.13</v>
      </c>
      <c r="I202" s="227" t="n">
        <v>0</v>
      </c>
      <c r="J202" s="227" t="n">
        <v>0.17</v>
      </c>
      <c r="K202" s="227" t="n">
        <v>-0.07</v>
      </c>
      <c r="L202" s="227" t="n">
        <v>0.005</v>
      </c>
      <c r="M202" s="227" t="n">
        <v>0.17</v>
      </c>
      <c r="N202" s="227" t="n">
        <v>-0.24</v>
      </c>
      <c r="O202" s="227" t="n">
        <v>0</v>
      </c>
      <c r="P202" s="227" t="n">
        <v>0.17</v>
      </c>
      <c r="Q202" s="227" t="n">
        <v>0</v>
      </c>
      <c r="R202" s="227" t="n">
        <v>0</v>
      </c>
      <c r="S202" s="227" t="n">
        <v>0</v>
      </c>
      <c r="T202" s="227" t="n">
        <v>0</v>
      </c>
      <c r="U202" s="227" t="n">
        <v>0</v>
      </c>
      <c r="V202" s="227" t="n">
        <v>0</v>
      </c>
      <c r="W202" s="227" t="n">
        <v>-0.708</v>
      </c>
      <c r="X202" s="227" t="n">
        <v>0.004956842221749</v>
      </c>
      <c r="Y202" s="227" t="n">
        <v>0</v>
      </c>
      <c r="Z202" s="227" t="n">
        <v>0.06</v>
      </c>
      <c r="AA202" s="227" t="n">
        <v>0.173</v>
      </c>
      <c r="AB202" s="227" t="n">
        <v>0</v>
      </c>
      <c r="AC202" s="227" t="n">
        <v>0</v>
      </c>
      <c r="AD202" s="226" t="n">
        <v>0.35</v>
      </c>
      <c r="AE202" s="227" t="n">
        <v>0</v>
      </c>
      <c r="AF202" s="227" t="n">
        <v>0.17</v>
      </c>
      <c r="AG202" s="227" t="n">
        <v>0.57</v>
      </c>
      <c r="AH202" s="227" t="n">
        <v>0</v>
      </c>
      <c r="AI202" s="227" t="n">
        <v>0.37</v>
      </c>
      <c r="AJ202" s="227" t="n">
        <v>0</v>
      </c>
    </row>
    <row r="203" customFormat="false" ht="12.75" hidden="false" customHeight="false" outlineLevel="0" collapsed="false">
      <c r="D203" s="226" t="n">
        <v>43160</v>
      </c>
      <c r="E203" s="227" t="n">
        <v>0.0542083737054742</v>
      </c>
      <c r="F203" s="227" t="n">
        <v>5.382</v>
      </c>
      <c r="G203" s="227" t="n">
        <v>0.17</v>
      </c>
      <c r="H203" s="227" t="n">
        <v>-0.13</v>
      </c>
      <c r="I203" s="227" t="n">
        <v>0</v>
      </c>
      <c r="J203" s="227" t="n">
        <v>0.17</v>
      </c>
      <c r="K203" s="227" t="n">
        <v>-0.07</v>
      </c>
      <c r="L203" s="227" t="n">
        <v>0.005</v>
      </c>
      <c r="M203" s="227" t="n">
        <v>0.17</v>
      </c>
      <c r="N203" s="227" t="n">
        <v>-0.24</v>
      </c>
      <c r="O203" s="227" t="n">
        <v>0</v>
      </c>
      <c r="P203" s="227" t="n">
        <v>0.17</v>
      </c>
      <c r="Q203" s="227" t="n">
        <v>0</v>
      </c>
      <c r="R203" s="227" t="n">
        <v>0</v>
      </c>
      <c r="S203" s="227" t="n">
        <v>0</v>
      </c>
      <c r="T203" s="227" t="n">
        <v>0</v>
      </c>
      <c r="U203" s="227" t="n">
        <v>0</v>
      </c>
      <c r="V203" s="227" t="n">
        <v>0</v>
      </c>
      <c r="W203" s="227" t="n">
        <v>-0.708</v>
      </c>
      <c r="X203" s="227" t="n">
        <v>0.0049575244303268</v>
      </c>
      <c r="Y203" s="227" t="n">
        <v>0</v>
      </c>
      <c r="Z203" s="227" t="n">
        <v>0.06</v>
      </c>
      <c r="AA203" s="227" t="n">
        <v>0.173</v>
      </c>
      <c r="AB203" s="227" t="n">
        <v>0</v>
      </c>
      <c r="AC203" s="227" t="n">
        <v>0</v>
      </c>
      <c r="AD203" s="226" t="n">
        <v>0.35</v>
      </c>
      <c r="AE203" s="227" t="n">
        <v>0</v>
      </c>
      <c r="AF203" s="227" t="n">
        <v>0.17</v>
      </c>
      <c r="AG203" s="227" t="n">
        <v>0.57</v>
      </c>
      <c r="AH203" s="227" t="n">
        <v>0</v>
      </c>
      <c r="AI203" s="227" t="n">
        <v>0.37</v>
      </c>
      <c r="AJ203" s="227" t="n">
        <v>0</v>
      </c>
    </row>
    <row r="204" customFormat="false" ht="12.75" hidden="false" customHeight="false" outlineLevel="0" collapsed="false">
      <c r="D204" s="226" t="n">
        <v>43191</v>
      </c>
      <c r="E204" s="227" t="n">
        <v>0.0542644311613425</v>
      </c>
      <c r="F204" s="227" t="n">
        <v>5.228</v>
      </c>
      <c r="G204" s="227" t="n">
        <v>0.17</v>
      </c>
      <c r="H204" s="227" t="n">
        <v>-0.2</v>
      </c>
      <c r="I204" s="227" t="n">
        <v>0</v>
      </c>
      <c r="J204" s="227" t="n">
        <v>0.17</v>
      </c>
      <c r="K204" s="227" t="n">
        <v>-0.07</v>
      </c>
      <c r="L204" s="227" t="n">
        <v>0.005</v>
      </c>
      <c r="M204" s="227" t="n">
        <v>0.17</v>
      </c>
      <c r="N204" s="227" t="n">
        <v>-0.32</v>
      </c>
      <c r="O204" s="227" t="n">
        <v>0</v>
      </c>
      <c r="P204" s="227" t="n">
        <v>0.17</v>
      </c>
      <c r="Q204" s="227" t="n">
        <v>0</v>
      </c>
      <c r="R204" s="227" t="n">
        <v>0</v>
      </c>
      <c r="S204" s="227" t="n">
        <v>0</v>
      </c>
      <c r="T204" s="227" t="n">
        <v>0</v>
      </c>
      <c r="U204" s="227" t="n">
        <v>0</v>
      </c>
      <c r="V204" s="227" t="n">
        <v>0</v>
      </c>
      <c r="W204" s="227" t="n">
        <v>-0.808</v>
      </c>
      <c r="X204" s="227" t="n">
        <v>0.004958304012015</v>
      </c>
      <c r="Y204" s="227" t="n">
        <v>0</v>
      </c>
      <c r="Z204" s="227" t="n">
        <v>0.02</v>
      </c>
      <c r="AA204" s="227" t="n">
        <v>0.173</v>
      </c>
      <c r="AB204" s="227" t="n">
        <v>0</v>
      </c>
      <c r="AC204" s="227" t="n">
        <v>0</v>
      </c>
      <c r="AD204" s="226" t="n">
        <v>0.43</v>
      </c>
      <c r="AE204" s="227" t="n">
        <v>0</v>
      </c>
      <c r="AF204" s="227" t="n">
        <v>0.17</v>
      </c>
      <c r="AG204" s="227" t="n">
        <v>0.44</v>
      </c>
      <c r="AH204" s="227" t="n">
        <v>0</v>
      </c>
      <c r="AI204" s="227" t="n">
        <v>0.24</v>
      </c>
      <c r="AJ204" s="227" t="n">
        <v>0</v>
      </c>
    </row>
    <row r="205" customFormat="false" ht="12.75" hidden="false" customHeight="false" outlineLevel="0" collapsed="false">
      <c r="D205" s="226" t="n">
        <v>43221</v>
      </c>
      <c r="E205" s="227" t="n">
        <v>0.0543186803131786</v>
      </c>
      <c r="F205" s="227" t="n">
        <v>5.233</v>
      </c>
      <c r="G205" s="227" t="n">
        <v>0.17</v>
      </c>
      <c r="H205" s="227" t="n">
        <v>-0.2</v>
      </c>
      <c r="I205" s="227" t="n">
        <v>0</v>
      </c>
      <c r="J205" s="227" t="n">
        <v>0.17</v>
      </c>
      <c r="K205" s="227" t="n">
        <v>-0.07</v>
      </c>
      <c r="L205" s="227" t="n">
        <v>0.005</v>
      </c>
      <c r="M205" s="227" t="n">
        <v>0.17</v>
      </c>
      <c r="N205" s="227" t="n">
        <v>-0.32</v>
      </c>
      <c r="O205" s="227" t="n">
        <v>0</v>
      </c>
      <c r="P205" s="227" t="n">
        <v>0.17</v>
      </c>
      <c r="Q205" s="227" t="n">
        <v>0</v>
      </c>
      <c r="R205" s="227" t="n">
        <v>0</v>
      </c>
      <c r="S205" s="227" t="n">
        <v>0</v>
      </c>
      <c r="T205" s="227" t="n">
        <v>0</v>
      </c>
      <c r="U205" s="227" t="n">
        <v>0</v>
      </c>
      <c r="V205" s="227" t="n">
        <v>0</v>
      </c>
      <c r="W205" s="227" t="n">
        <v>-0.808</v>
      </c>
      <c r="X205" s="227" t="n">
        <v>0.0049590827480873</v>
      </c>
      <c r="Y205" s="227" t="n">
        <v>0</v>
      </c>
      <c r="Z205" s="227" t="n">
        <v>0.02</v>
      </c>
      <c r="AA205" s="227" t="n">
        <v>0.173</v>
      </c>
      <c r="AB205" s="227" t="n">
        <v>0</v>
      </c>
      <c r="AC205" s="227" t="n">
        <v>0</v>
      </c>
      <c r="AD205" s="226" t="n">
        <v>0.43</v>
      </c>
      <c r="AE205" s="227" t="n">
        <v>0</v>
      </c>
      <c r="AF205" s="227" t="n">
        <v>0.17</v>
      </c>
      <c r="AG205" s="227" t="n">
        <v>0.44</v>
      </c>
      <c r="AH205" s="227" t="n">
        <v>0</v>
      </c>
      <c r="AI205" s="227" t="n">
        <v>0.24</v>
      </c>
      <c r="AJ205" s="227" t="n">
        <v>0</v>
      </c>
    </row>
    <row r="206" customFormat="false" ht="12.75" hidden="false" customHeight="false" outlineLevel="0" collapsed="false">
      <c r="D206" s="226" t="n">
        <v>43252</v>
      </c>
      <c r="E206" s="227" t="n">
        <v>0.054374737771107</v>
      </c>
      <c r="F206" s="227" t="n">
        <v>5.271</v>
      </c>
      <c r="G206" s="227" t="n">
        <v>0.17</v>
      </c>
      <c r="H206" s="227" t="n">
        <v>-0.2</v>
      </c>
      <c r="I206" s="227" t="n">
        <v>0</v>
      </c>
      <c r="J206" s="227" t="n">
        <v>0.17</v>
      </c>
      <c r="K206" s="227" t="n">
        <v>-0.07</v>
      </c>
      <c r="L206" s="227" t="n">
        <v>0.005</v>
      </c>
      <c r="M206" s="227" t="n">
        <v>0.17</v>
      </c>
      <c r="N206" s="227" t="n">
        <v>-0.32</v>
      </c>
      <c r="O206" s="227" t="n">
        <v>0</v>
      </c>
      <c r="P206" s="227" t="n">
        <v>0.17</v>
      </c>
      <c r="Q206" s="227" t="n">
        <v>0</v>
      </c>
      <c r="R206" s="227" t="n">
        <v>0</v>
      </c>
      <c r="S206" s="227" t="n">
        <v>0</v>
      </c>
      <c r="T206" s="227" t="n">
        <v>0</v>
      </c>
      <c r="U206" s="227" t="n">
        <v>0</v>
      </c>
      <c r="V206" s="227" t="n">
        <v>0</v>
      </c>
      <c r="W206" s="227" t="n">
        <v>-0.808</v>
      </c>
      <c r="X206" s="227" t="n">
        <v>0.0049599125648764</v>
      </c>
      <c r="Y206" s="227" t="n">
        <v>0</v>
      </c>
      <c r="Z206" s="227" t="n">
        <v>0.02</v>
      </c>
      <c r="AA206" s="227" t="n">
        <v>0.173</v>
      </c>
      <c r="AB206" s="227" t="n">
        <v>0</v>
      </c>
      <c r="AC206" s="227" t="n">
        <v>0</v>
      </c>
      <c r="AD206" s="226" t="n">
        <v>0.43</v>
      </c>
      <c r="AE206" s="227" t="n">
        <v>0</v>
      </c>
      <c r="AF206" s="227" t="n">
        <v>0.17</v>
      </c>
      <c r="AG206" s="227" t="n">
        <v>0.44</v>
      </c>
      <c r="AH206" s="227" t="n">
        <v>0</v>
      </c>
      <c r="AI206" s="227" t="n">
        <v>0.24</v>
      </c>
      <c r="AJ206" s="227" t="n">
        <v>0</v>
      </c>
    </row>
    <row r="207" customFormat="false" ht="12.75" hidden="false" customHeight="false" outlineLevel="0" collapsed="false">
      <c r="D207" s="226" t="n">
        <v>43282</v>
      </c>
      <c r="E207" s="227" t="n">
        <v>0.0544289869249375</v>
      </c>
      <c r="F207" s="227" t="n">
        <v>5.316</v>
      </c>
      <c r="G207" s="227" t="n">
        <v>0.17</v>
      </c>
      <c r="H207" s="227" t="n">
        <v>-0.2</v>
      </c>
      <c r="I207" s="227" t="n">
        <v>0</v>
      </c>
      <c r="K207" s="227" t="n">
        <v>-0.07</v>
      </c>
      <c r="L207" s="227" t="n">
        <v>0.005</v>
      </c>
      <c r="N207" s="227" t="n">
        <v>-0.32</v>
      </c>
      <c r="O207" s="227" t="n">
        <v>0</v>
      </c>
      <c r="Q207" s="227" t="n">
        <v>0</v>
      </c>
      <c r="R207" s="227" t="n">
        <v>0</v>
      </c>
      <c r="S207" s="227" t="n">
        <v>0</v>
      </c>
      <c r="T207" s="227" t="n">
        <v>0</v>
      </c>
      <c r="U207" s="227" t="n">
        <v>0</v>
      </c>
      <c r="V207" s="227" t="n">
        <v>0</v>
      </c>
      <c r="W207" s="227" t="n">
        <v>-0.808</v>
      </c>
      <c r="X207" s="227" t="n">
        <v>0.0049607399363174</v>
      </c>
      <c r="Y207" s="227" t="n">
        <v>0</v>
      </c>
      <c r="Z207" s="227" t="n">
        <v>0.02</v>
      </c>
      <c r="AB207" s="227" t="n">
        <v>0</v>
      </c>
      <c r="AC207" s="227" t="n">
        <v>0</v>
      </c>
      <c r="AD207" s="226" t="n">
        <v>0.43</v>
      </c>
      <c r="AE207" s="227" t="n">
        <v>0</v>
      </c>
      <c r="AG207" s="227" t="n">
        <v>0.44</v>
      </c>
      <c r="AH207" s="227" t="n">
        <v>0</v>
      </c>
      <c r="AI207" s="227" t="n">
        <v>0.24</v>
      </c>
      <c r="AJ207" s="227" t="n">
        <v>0</v>
      </c>
    </row>
    <row r="208" customFormat="false" ht="12.75" hidden="false" customHeight="false" outlineLevel="0" collapsed="false">
      <c r="D208" s="226" t="n">
        <v>43313</v>
      </c>
      <c r="E208" s="227" t="n">
        <v>0.0544850443849256</v>
      </c>
      <c r="F208" s="227" t="n">
        <v>5.354</v>
      </c>
      <c r="G208" s="227" t="n">
        <v>0.17</v>
      </c>
      <c r="H208" s="227" t="n">
        <v>-0.2</v>
      </c>
      <c r="I208" s="227" t="n">
        <v>0</v>
      </c>
      <c r="K208" s="227" t="n">
        <v>-0.07</v>
      </c>
      <c r="L208" s="227" t="n">
        <v>0.005</v>
      </c>
      <c r="N208" s="227" t="n">
        <v>-0.32</v>
      </c>
      <c r="O208" s="227" t="n">
        <v>0</v>
      </c>
      <c r="Q208" s="227" t="n">
        <v>0</v>
      </c>
      <c r="R208" s="227" t="n">
        <v>0</v>
      </c>
      <c r="S208" s="227" t="n">
        <v>0</v>
      </c>
      <c r="T208" s="227" t="n">
        <v>0</v>
      </c>
      <c r="U208" s="227" t="n">
        <v>0</v>
      </c>
      <c r="V208" s="227" t="n">
        <v>0</v>
      </c>
      <c r="W208" s="227" t="n">
        <v>-0.808</v>
      </c>
      <c r="X208" s="227" t="n">
        <v>0.0049616200318551</v>
      </c>
      <c r="Y208" s="227" t="n">
        <v>0</v>
      </c>
      <c r="Z208" s="227" t="n">
        <v>0.02</v>
      </c>
      <c r="AB208" s="227" t="n">
        <v>0</v>
      </c>
      <c r="AC208" s="227" t="n">
        <v>0</v>
      </c>
      <c r="AD208" s="226" t="n">
        <v>0.43</v>
      </c>
      <c r="AE208" s="227" t="n">
        <v>0</v>
      </c>
      <c r="AG208" s="227" t="n">
        <v>0.44</v>
      </c>
      <c r="AH208" s="227" t="n">
        <v>0</v>
      </c>
      <c r="AI208" s="227" t="n">
        <v>0.24</v>
      </c>
      <c r="AJ208" s="227" t="n">
        <v>0</v>
      </c>
    </row>
    <row r="209" customFormat="false" ht="12.75" hidden="false" customHeight="false" outlineLevel="0" collapsed="false">
      <c r="D209" s="226" t="n">
        <v>43344</v>
      </c>
      <c r="E209" s="227" t="n">
        <v>0.0545411018459605</v>
      </c>
      <c r="F209" s="227" t="n">
        <v>5.348</v>
      </c>
      <c r="G209" s="227" t="n">
        <v>0.17</v>
      </c>
      <c r="H209" s="227" t="n">
        <v>-0.2</v>
      </c>
      <c r="I209" s="227" t="n">
        <v>0</v>
      </c>
      <c r="K209" s="227" t="n">
        <v>-0.07</v>
      </c>
      <c r="L209" s="227" t="n">
        <v>0.005</v>
      </c>
      <c r="N209" s="227" t="n">
        <v>-0.32</v>
      </c>
      <c r="O209" s="227" t="n">
        <v>0</v>
      </c>
      <c r="Q209" s="227" t="n">
        <v>0</v>
      </c>
      <c r="R209" s="227" t="n">
        <v>0</v>
      </c>
      <c r="S209" s="227" t="n">
        <v>0</v>
      </c>
      <c r="T209" s="227" t="n">
        <v>0</v>
      </c>
      <c r="U209" s="227" t="n">
        <v>0</v>
      </c>
      <c r="V209" s="227" t="n">
        <v>0</v>
      </c>
      <c r="W209" s="227" t="n">
        <v>-0.808</v>
      </c>
      <c r="X209" s="227" t="n">
        <v>0.0049625256965767</v>
      </c>
      <c r="Y209" s="227" t="n">
        <v>0</v>
      </c>
      <c r="Z209" s="227" t="n">
        <v>0.02</v>
      </c>
      <c r="AB209" s="227" t="n">
        <v>0</v>
      </c>
      <c r="AC209" s="227" t="n">
        <v>0</v>
      </c>
      <c r="AD209" s="226" t="n">
        <v>0.43</v>
      </c>
      <c r="AE209" s="227" t="n">
        <v>0</v>
      </c>
      <c r="AG209" s="227" t="n">
        <v>0.44</v>
      </c>
      <c r="AH209" s="227" t="n">
        <v>0</v>
      </c>
      <c r="AI209" s="227" t="n">
        <v>0.24</v>
      </c>
      <c r="AJ209" s="227" t="n">
        <v>0</v>
      </c>
    </row>
    <row r="210" customFormat="false" ht="12.75" hidden="false" customHeight="false" outlineLevel="0" collapsed="false">
      <c r="D210" s="226" t="n">
        <v>43374</v>
      </c>
      <c r="E210" s="227" t="n">
        <v>0.0545953510027979</v>
      </c>
      <c r="F210" s="227" t="n">
        <v>5.348</v>
      </c>
      <c r="G210" s="227" t="n">
        <v>0.17</v>
      </c>
      <c r="H210" s="227" t="n">
        <v>-0.2</v>
      </c>
      <c r="I210" s="227" t="n">
        <v>0</v>
      </c>
      <c r="K210" s="227" t="n">
        <v>-0.07</v>
      </c>
      <c r="L210" s="227" t="n">
        <v>0.005</v>
      </c>
      <c r="N210" s="227" t="n">
        <v>-0.32</v>
      </c>
      <c r="O210" s="227" t="n">
        <v>0</v>
      </c>
      <c r="Q210" s="227" t="n">
        <v>0</v>
      </c>
      <c r="R210" s="227" t="n">
        <v>0</v>
      </c>
      <c r="S210" s="227" t="n">
        <v>0</v>
      </c>
      <c r="T210" s="227" t="n">
        <v>0</v>
      </c>
      <c r="U210" s="227" t="n">
        <v>0</v>
      </c>
      <c r="V210" s="227" t="n">
        <v>0</v>
      </c>
      <c r="W210" s="227" t="n">
        <v>-0.808</v>
      </c>
      <c r="X210" s="227" t="n">
        <v>0.004963426503292</v>
      </c>
      <c r="Y210" s="227" t="n">
        <v>0</v>
      </c>
      <c r="Z210" s="227" t="n">
        <v>0.02</v>
      </c>
      <c r="AB210" s="227" t="n">
        <v>0</v>
      </c>
      <c r="AC210" s="227" t="n">
        <v>0</v>
      </c>
      <c r="AD210" s="226" t="n">
        <v>0.43</v>
      </c>
      <c r="AE210" s="227" t="n">
        <v>0</v>
      </c>
      <c r="AG210" s="227" t="n">
        <v>0.44</v>
      </c>
      <c r="AH210" s="227" t="n">
        <v>0</v>
      </c>
      <c r="AI210" s="227" t="n">
        <v>0.24</v>
      </c>
      <c r="AJ210" s="227" t="n">
        <v>0</v>
      </c>
    </row>
    <row r="211" customFormat="false" ht="12.75" hidden="false" customHeight="false" outlineLevel="0" collapsed="false">
      <c r="D211" s="226" t="n">
        <v>43405</v>
      </c>
      <c r="E211" s="227" t="n">
        <v>0.0546514084658929</v>
      </c>
      <c r="F211" s="227" t="n">
        <v>5.518</v>
      </c>
      <c r="G211" s="227" t="n">
        <v>0.17</v>
      </c>
      <c r="H211" s="227" t="n">
        <v>-0.13</v>
      </c>
      <c r="I211" s="227" t="n">
        <v>0</v>
      </c>
      <c r="K211" s="227" t="n">
        <v>-0.07</v>
      </c>
      <c r="L211" s="227" t="n">
        <v>0.005</v>
      </c>
      <c r="N211" s="227" t="n">
        <v>-0.24</v>
      </c>
      <c r="O211" s="227" t="n">
        <v>0</v>
      </c>
      <c r="Q211" s="227" t="n">
        <v>0</v>
      </c>
      <c r="R211" s="227" t="n">
        <v>0</v>
      </c>
      <c r="S211" s="227" t="n">
        <v>0</v>
      </c>
      <c r="T211" s="227" t="n">
        <v>0</v>
      </c>
      <c r="U211" s="227" t="n">
        <v>0</v>
      </c>
      <c r="V211" s="227" t="n">
        <v>0</v>
      </c>
      <c r="W211" s="227" t="n">
        <v>-0.708</v>
      </c>
      <c r="X211" s="227" t="n">
        <v>0.0049643825182698</v>
      </c>
      <c r="Y211" s="227" t="n">
        <v>0</v>
      </c>
      <c r="Z211" s="227" t="n">
        <v>0.06</v>
      </c>
      <c r="AB211" s="227" t="n">
        <v>0</v>
      </c>
      <c r="AC211" s="227" t="n">
        <v>0</v>
      </c>
      <c r="AD211" s="226" t="n">
        <v>0.35</v>
      </c>
      <c r="AE211" s="227" t="n">
        <v>0</v>
      </c>
      <c r="AG211" s="227" t="n">
        <v>0.5</v>
      </c>
      <c r="AH211" s="227" t="n">
        <v>0</v>
      </c>
      <c r="AI211" s="227" t="n">
        <v>0.3</v>
      </c>
      <c r="AJ211" s="227" t="n">
        <v>0</v>
      </c>
    </row>
    <row r="212" customFormat="false" ht="12.75" hidden="false" customHeight="false" outlineLevel="0" collapsed="false">
      <c r="D212" s="226" t="n">
        <v>43435</v>
      </c>
      <c r="E212" s="227" t="n">
        <v>0.0547056576247238</v>
      </c>
      <c r="F212" s="227" t="n">
        <v>5.649</v>
      </c>
      <c r="G212" s="227" t="n">
        <v>0.17</v>
      </c>
      <c r="H212" s="227" t="n">
        <v>-0.13</v>
      </c>
      <c r="I212" s="227" t="n">
        <v>0</v>
      </c>
      <c r="K212" s="227" t="n">
        <v>-0.07</v>
      </c>
      <c r="L212" s="227" t="n">
        <v>0.005</v>
      </c>
      <c r="N212" s="227" t="n">
        <v>-0.24</v>
      </c>
      <c r="O212" s="227" t="n">
        <v>0</v>
      </c>
      <c r="Q212" s="227" t="n">
        <v>0</v>
      </c>
      <c r="R212" s="227" t="n">
        <v>0</v>
      </c>
      <c r="S212" s="227" t="n">
        <v>0</v>
      </c>
      <c r="T212" s="227" t="n">
        <v>0</v>
      </c>
      <c r="U212" s="227" t="n">
        <v>0</v>
      </c>
      <c r="V212" s="227" t="n">
        <v>0</v>
      </c>
      <c r="W212" s="227" t="n">
        <v>-0.708</v>
      </c>
      <c r="X212" s="227" t="n">
        <v>0.0049653320754398</v>
      </c>
      <c r="Y212" s="227" t="n">
        <v>0</v>
      </c>
      <c r="Z212" s="227" t="n">
        <v>0.06</v>
      </c>
      <c r="AB212" s="227" t="n">
        <v>0</v>
      </c>
      <c r="AC212" s="227" t="n">
        <v>0</v>
      </c>
      <c r="AD212" s="226" t="n">
        <v>0.35</v>
      </c>
      <c r="AE212" s="227" t="n">
        <v>0</v>
      </c>
      <c r="AG212" s="227" t="n">
        <v>0.57</v>
      </c>
      <c r="AH212" s="227" t="n">
        <v>0</v>
      </c>
      <c r="AI212" s="227" t="n">
        <v>0.37</v>
      </c>
      <c r="AJ212" s="227" t="n">
        <v>0</v>
      </c>
    </row>
    <row r="213" customFormat="false" ht="12.75" hidden="false" customHeight="false" outlineLevel="0" collapsed="false">
      <c r="D213" s="226" t="n">
        <v>43466</v>
      </c>
      <c r="E213" s="227" t="n">
        <v>0.0547617150898785</v>
      </c>
      <c r="F213" s="227" t="n">
        <v>5.7215</v>
      </c>
      <c r="G213" s="227" t="n">
        <v>0.17</v>
      </c>
      <c r="H213" s="227" t="n">
        <v>-0.13</v>
      </c>
      <c r="I213" s="227" t="n">
        <v>0</v>
      </c>
      <c r="K213" s="227" t="n">
        <v>-0.07</v>
      </c>
      <c r="L213" s="227" t="n">
        <v>0.005</v>
      </c>
      <c r="N213" s="227" t="n">
        <v>-0.24</v>
      </c>
      <c r="O213" s="227" t="n">
        <v>0</v>
      </c>
      <c r="Q213" s="227" t="n">
        <v>0</v>
      </c>
      <c r="R213" s="227" t="n">
        <v>0</v>
      </c>
      <c r="S213" s="227" t="n">
        <v>0</v>
      </c>
      <c r="T213" s="227" t="n">
        <v>0</v>
      </c>
      <c r="U213" s="227" t="n">
        <v>0</v>
      </c>
      <c r="V213" s="227" t="n">
        <v>0</v>
      </c>
      <c r="W213" s="227" t="n">
        <v>-0.708</v>
      </c>
      <c r="X213" s="227" t="n">
        <v>0.0049663384918576</v>
      </c>
      <c r="Y213" s="227" t="n">
        <v>0</v>
      </c>
      <c r="Z213" s="227" t="n">
        <v>0.06</v>
      </c>
      <c r="AB213" s="227" t="n">
        <v>0</v>
      </c>
      <c r="AC213" s="227" t="n">
        <v>0</v>
      </c>
      <c r="AD213" s="226" t="n">
        <v>0.35</v>
      </c>
      <c r="AE213" s="227" t="n">
        <v>0</v>
      </c>
      <c r="AG213" s="227" t="n">
        <v>0.57</v>
      </c>
      <c r="AH213" s="227" t="n">
        <v>0</v>
      </c>
      <c r="AI213" s="227" t="n">
        <v>0.37</v>
      </c>
      <c r="AJ213" s="227" t="n">
        <v>0</v>
      </c>
    </row>
    <row r="214" customFormat="false" ht="12.75" hidden="false" customHeight="false" outlineLevel="0" collapsed="false">
      <c r="D214" s="226" t="n">
        <v>43497</v>
      </c>
      <c r="E214" s="227" t="n">
        <v>0.0548177725560808</v>
      </c>
      <c r="F214" s="227" t="n">
        <v>5.6335</v>
      </c>
      <c r="G214" s="227" t="n">
        <v>0.17</v>
      </c>
      <c r="H214" s="227" t="n">
        <v>-0.13</v>
      </c>
      <c r="I214" s="227" t="n">
        <v>0</v>
      </c>
      <c r="K214" s="227" t="n">
        <v>-0.07</v>
      </c>
      <c r="L214" s="227" t="n">
        <v>0</v>
      </c>
      <c r="N214" s="227" t="n">
        <v>-0.24</v>
      </c>
      <c r="O214" s="227" t="n">
        <v>0</v>
      </c>
      <c r="Q214" s="227" t="n">
        <v>0</v>
      </c>
      <c r="R214" s="227" t="n">
        <v>0</v>
      </c>
      <c r="S214" s="227" t="n">
        <v>0</v>
      </c>
      <c r="T214" s="227" t="n">
        <v>0</v>
      </c>
      <c r="U214" s="227" t="n">
        <v>0</v>
      </c>
      <c r="V214" s="227" t="n">
        <v>0</v>
      </c>
      <c r="W214" s="227" t="n">
        <v>-0.708</v>
      </c>
      <c r="X214" s="227" t="n">
        <v>0.0049673705427022</v>
      </c>
      <c r="Y214" s="227" t="n">
        <v>0</v>
      </c>
      <c r="Z214" s="227" t="n">
        <v>0.06</v>
      </c>
      <c r="AB214" s="227" t="n">
        <v>0</v>
      </c>
      <c r="AC214" s="227" t="n">
        <v>0</v>
      </c>
      <c r="AD214" s="226" t="n">
        <v>0.35</v>
      </c>
      <c r="AE214" s="227" t="n">
        <v>0</v>
      </c>
      <c r="AG214" s="227" t="n">
        <v>0.57</v>
      </c>
      <c r="AH214" s="227" t="n">
        <v>0</v>
      </c>
      <c r="AI214" s="227" t="n">
        <v>0.37</v>
      </c>
      <c r="AJ214" s="227" t="n">
        <v>0</v>
      </c>
    </row>
    <row r="215" customFormat="false" ht="12.75" hidden="false" customHeight="false" outlineLevel="0" collapsed="false">
      <c r="D215" s="226" t="n">
        <v>43525</v>
      </c>
      <c r="E215" s="227" t="n">
        <v>0.0548684051070976</v>
      </c>
      <c r="F215" s="227" t="n">
        <v>5.4945</v>
      </c>
      <c r="G215" s="227" t="n">
        <v>0.17</v>
      </c>
      <c r="H215" s="227" t="n">
        <v>-0.13</v>
      </c>
      <c r="I215" s="227" t="n">
        <v>0</v>
      </c>
      <c r="K215" s="227" t="n">
        <v>-0.07</v>
      </c>
      <c r="L215" s="227" t="n">
        <v>0</v>
      </c>
      <c r="N215" s="227" t="n">
        <v>-0.24</v>
      </c>
      <c r="O215" s="227" t="n">
        <v>0</v>
      </c>
      <c r="Q215" s="227" t="n">
        <v>0</v>
      </c>
      <c r="R215" s="227" t="n">
        <v>0</v>
      </c>
      <c r="S215" s="227" t="n">
        <v>0</v>
      </c>
      <c r="T215" s="227" t="n">
        <v>0</v>
      </c>
      <c r="U215" s="227" t="n">
        <v>0</v>
      </c>
      <c r="V215" s="227" t="n">
        <v>0</v>
      </c>
      <c r="W215" s="227" t="n">
        <v>-0.708</v>
      </c>
      <c r="X215" s="227" t="n">
        <v>0.0049683247629588</v>
      </c>
      <c r="Y215" s="227" t="n">
        <v>0</v>
      </c>
      <c r="Z215" s="227" t="n">
        <v>0.06</v>
      </c>
      <c r="AB215" s="227" t="n">
        <v>0</v>
      </c>
      <c r="AC215" s="227" t="n">
        <v>0</v>
      </c>
      <c r="AD215" s="226" t="n">
        <v>0.35</v>
      </c>
      <c r="AE215" s="227" t="n">
        <v>0</v>
      </c>
      <c r="AG215" s="227" t="n">
        <v>0.57</v>
      </c>
      <c r="AH215" s="227" t="n">
        <v>0</v>
      </c>
      <c r="AI215" s="227" t="n">
        <v>0.37</v>
      </c>
      <c r="AJ215" s="227" t="n">
        <v>0</v>
      </c>
    </row>
    <row r="216" customFormat="false" ht="12.75" hidden="false" customHeight="false" outlineLevel="0" collapsed="false">
      <c r="D216" s="226" t="n">
        <v>43556</v>
      </c>
      <c r="E216" s="227" t="n">
        <v>0.054924462575292</v>
      </c>
      <c r="F216" s="227" t="n">
        <v>5.3405</v>
      </c>
      <c r="G216" s="227" t="n">
        <v>0.17</v>
      </c>
      <c r="H216" s="227" t="n">
        <v>-0.2</v>
      </c>
      <c r="I216" s="227" t="n">
        <v>0</v>
      </c>
      <c r="K216" s="227" t="n">
        <v>-0.07</v>
      </c>
      <c r="L216" s="227" t="n">
        <v>0</v>
      </c>
      <c r="N216" s="227" t="n">
        <v>-0.32</v>
      </c>
      <c r="O216" s="227" t="n">
        <v>0</v>
      </c>
      <c r="Q216" s="227" t="n">
        <v>0</v>
      </c>
      <c r="R216" s="227" t="n">
        <v>0</v>
      </c>
      <c r="S216" s="227" t="n">
        <v>0</v>
      </c>
      <c r="T216" s="227" t="n">
        <v>0</v>
      </c>
      <c r="U216" s="227" t="n">
        <v>0</v>
      </c>
      <c r="V216" s="227" t="n">
        <v>0</v>
      </c>
      <c r="W216" s="227" t="n">
        <v>-0.808</v>
      </c>
      <c r="X216" s="227" t="n">
        <v>0.0049694056419984</v>
      </c>
      <c r="Y216" s="227" t="n">
        <v>0</v>
      </c>
      <c r="Z216" s="227" t="n">
        <v>0.02</v>
      </c>
      <c r="AB216" s="227" t="n">
        <v>0</v>
      </c>
      <c r="AC216" s="227" t="n">
        <v>0</v>
      </c>
      <c r="AD216" s="226" t="n">
        <v>0.43</v>
      </c>
      <c r="AE216" s="227" t="n">
        <v>0</v>
      </c>
      <c r="AG216" s="227" t="n">
        <v>0.44</v>
      </c>
      <c r="AH216" s="227" t="n">
        <v>0</v>
      </c>
      <c r="AI216" s="227" t="n">
        <v>0.24</v>
      </c>
      <c r="AJ216" s="227" t="n">
        <v>0</v>
      </c>
    </row>
    <row r="217" customFormat="false" ht="12.75" hidden="false" customHeight="false" outlineLevel="0" collapsed="false">
      <c r="D217" s="226" t="n">
        <v>43586</v>
      </c>
      <c r="E217" s="227" t="n">
        <v>0.0549787117390568</v>
      </c>
      <c r="F217" s="227" t="n">
        <v>5.3455</v>
      </c>
      <c r="G217" s="227" t="n">
        <v>0.17</v>
      </c>
      <c r="H217" s="227" t="n">
        <v>-0.2</v>
      </c>
      <c r="I217" s="227" t="n">
        <v>0</v>
      </c>
      <c r="K217" s="227" t="n">
        <v>-0.07</v>
      </c>
      <c r="L217" s="227" t="n">
        <v>0</v>
      </c>
      <c r="N217" s="227" t="n">
        <v>-0.32</v>
      </c>
      <c r="O217" s="227" t="n">
        <v>0</v>
      </c>
      <c r="Q217" s="227" t="n">
        <v>0</v>
      </c>
      <c r="R217" s="227" t="n">
        <v>0</v>
      </c>
      <c r="S217" s="227" t="n">
        <v>0</v>
      </c>
      <c r="T217" s="227" t="n">
        <v>0</v>
      </c>
      <c r="U217" s="227" t="n">
        <v>0</v>
      </c>
      <c r="V217" s="227" t="n">
        <v>0</v>
      </c>
      <c r="W217" s="227" t="n">
        <v>-0.808</v>
      </c>
      <c r="X217" s="227" t="n">
        <v>0.00497047610203</v>
      </c>
      <c r="Y217" s="227" t="n">
        <v>0</v>
      </c>
      <c r="Z217" s="227" t="n">
        <v>0.02</v>
      </c>
      <c r="AB217" s="227" t="n">
        <v>0</v>
      </c>
      <c r="AC217" s="227" t="n">
        <v>0</v>
      </c>
      <c r="AD217" s="226" t="n">
        <v>0.43</v>
      </c>
      <c r="AE217" s="227" t="n">
        <v>0</v>
      </c>
      <c r="AG217" s="227" t="n">
        <v>0.44</v>
      </c>
      <c r="AH217" s="227" t="n">
        <v>0</v>
      </c>
      <c r="AI217" s="227" t="n">
        <v>0.24</v>
      </c>
      <c r="AJ217" s="227" t="n">
        <v>0</v>
      </c>
    </row>
    <row r="218" customFormat="false" ht="12.75" hidden="false" customHeight="false" outlineLevel="0" collapsed="false">
      <c r="D218" s="226" t="n">
        <v>43617</v>
      </c>
      <c r="E218" s="227" t="n">
        <v>0.0550347692093105</v>
      </c>
      <c r="F218" s="227" t="n">
        <v>5.3835</v>
      </c>
      <c r="G218" s="227" t="n">
        <v>0.17</v>
      </c>
      <c r="H218" s="227" t="n">
        <v>-0.2</v>
      </c>
      <c r="I218" s="227" t="n">
        <v>0</v>
      </c>
      <c r="K218" s="227" t="n">
        <v>-0.07</v>
      </c>
      <c r="L218" s="227" t="n">
        <v>0</v>
      </c>
      <c r="N218" s="227" t="n">
        <v>-0.32</v>
      </c>
      <c r="O218" s="227" t="n">
        <v>0</v>
      </c>
      <c r="Q218" s="227" t="n">
        <v>0</v>
      </c>
      <c r="R218" s="227" t="n">
        <v>0</v>
      </c>
      <c r="S218" s="227" t="n">
        <v>0</v>
      </c>
      <c r="T218" s="227" t="n">
        <v>0</v>
      </c>
      <c r="U218" s="227" t="n">
        <v>0</v>
      </c>
      <c r="V218" s="227" t="n">
        <v>0</v>
      </c>
      <c r="W218" s="227" t="n">
        <v>-0.808</v>
      </c>
      <c r="X218" s="227" t="n">
        <v>0.004971607522178</v>
      </c>
      <c r="Y218" s="227" t="n">
        <v>0</v>
      </c>
      <c r="Z218" s="227" t="n">
        <v>0.02</v>
      </c>
      <c r="AB218" s="227" t="n">
        <v>0</v>
      </c>
      <c r="AC218" s="227" t="n">
        <v>0</v>
      </c>
      <c r="AD218" s="226" t="n">
        <v>0.43</v>
      </c>
      <c r="AE218" s="227" t="n">
        <v>0</v>
      </c>
      <c r="AG218" s="227" t="n">
        <v>0.44</v>
      </c>
      <c r="AH218" s="227" t="n">
        <v>0</v>
      </c>
      <c r="AI218" s="227" t="n">
        <v>0.24</v>
      </c>
      <c r="AJ218" s="227" t="n">
        <v>0</v>
      </c>
    </row>
    <row r="219" customFormat="false" ht="12.75" hidden="false" customHeight="false" outlineLevel="0" collapsed="false">
      <c r="D219" s="226" t="n">
        <v>43647</v>
      </c>
      <c r="E219" s="227" t="n">
        <v>0.0550890183750683</v>
      </c>
      <c r="F219" s="227" t="n">
        <v>5.4285</v>
      </c>
      <c r="G219" s="227" t="n">
        <v>0.17</v>
      </c>
      <c r="H219" s="227" t="n">
        <v>-0.2</v>
      </c>
      <c r="I219" s="227" t="n">
        <v>0</v>
      </c>
      <c r="K219" s="227" t="n">
        <v>-0.07</v>
      </c>
      <c r="L219" s="227" t="n">
        <v>0</v>
      </c>
      <c r="N219" s="227" t="n">
        <v>-0.32</v>
      </c>
      <c r="O219" s="227" t="n">
        <v>0</v>
      </c>
      <c r="Q219" s="227" t="n">
        <v>0</v>
      </c>
      <c r="R219" s="227" t="n">
        <v>0</v>
      </c>
      <c r="S219" s="227" t="n">
        <v>0</v>
      </c>
      <c r="T219" s="227" t="n">
        <v>0</v>
      </c>
      <c r="U219" s="227" t="n">
        <v>0</v>
      </c>
      <c r="V219" s="227" t="n">
        <v>0</v>
      </c>
      <c r="W219" s="227" t="n">
        <v>-0.808</v>
      </c>
      <c r="X219" s="227" t="n">
        <v>0.0049727269224335</v>
      </c>
      <c r="Y219" s="227" t="n">
        <v>0</v>
      </c>
      <c r="Z219" s="227" t="n">
        <v>0.02</v>
      </c>
      <c r="AB219" s="227" t="n">
        <v>0</v>
      </c>
      <c r="AC219" s="227" t="n">
        <v>0</v>
      </c>
      <c r="AD219" s="226" t="n">
        <v>0.43</v>
      </c>
      <c r="AE219" s="227" t="n">
        <v>0</v>
      </c>
      <c r="AG219" s="227" t="n">
        <v>0.44</v>
      </c>
      <c r="AH219" s="227" t="n">
        <v>0</v>
      </c>
      <c r="AI219" s="227" t="n">
        <v>0.24</v>
      </c>
      <c r="AJ219" s="227" t="n">
        <v>0</v>
      </c>
    </row>
    <row r="220" customFormat="false" ht="12.75" hidden="false" customHeight="false" outlineLevel="0" collapsed="false">
      <c r="D220" s="226" t="n">
        <v>43678</v>
      </c>
      <c r="E220" s="227" t="n">
        <v>0.0551450758473813</v>
      </c>
      <c r="F220" s="227" t="n">
        <v>5.4665</v>
      </c>
      <c r="G220" s="227" t="n">
        <v>0.17</v>
      </c>
      <c r="H220" s="227" t="n">
        <v>-0.2</v>
      </c>
      <c r="I220" s="227" t="n">
        <v>0</v>
      </c>
      <c r="K220" s="227" t="n">
        <v>-0.07</v>
      </c>
      <c r="L220" s="227" t="n">
        <v>0</v>
      </c>
      <c r="N220" s="227" t="n">
        <v>-0.32</v>
      </c>
      <c r="O220" s="227" t="n">
        <v>0</v>
      </c>
      <c r="Q220" s="227" t="n">
        <v>0</v>
      </c>
      <c r="R220" s="227" t="n">
        <v>0</v>
      </c>
      <c r="S220" s="227" t="n">
        <v>0</v>
      </c>
      <c r="T220" s="227" t="n">
        <v>0</v>
      </c>
      <c r="U220" s="227" t="n">
        <v>0</v>
      </c>
      <c r="V220" s="227" t="n">
        <v>0</v>
      </c>
      <c r="W220" s="227" t="n">
        <v>-0.808</v>
      </c>
      <c r="X220" s="227" t="n">
        <v>0.0049739089453636</v>
      </c>
      <c r="Y220" s="227" t="n">
        <v>0</v>
      </c>
      <c r="Z220" s="227" t="n">
        <v>0.02</v>
      </c>
      <c r="AB220" s="227" t="n">
        <v>0</v>
      </c>
      <c r="AC220" s="227" t="n">
        <v>0</v>
      </c>
      <c r="AD220" s="226" t="n">
        <v>0.43</v>
      </c>
      <c r="AE220" s="227" t="n">
        <v>0</v>
      </c>
      <c r="AG220" s="227" t="n">
        <v>0.44</v>
      </c>
      <c r="AH220" s="227" t="n">
        <v>0</v>
      </c>
      <c r="AI220" s="227" t="n">
        <v>0.24</v>
      </c>
      <c r="AJ220" s="227" t="n">
        <v>0</v>
      </c>
    </row>
    <row r="221" customFormat="false" ht="12.75" hidden="false" customHeight="false" outlineLevel="0" collapsed="false">
      <c r="D221" s="226" t="n">
        <v>43709</v>
      </c>
      <c r="E221" s="227" t="n">
        <v>0.055201133320741</v>
      </c>
      <c r="F221" s="227" t="n">
        <v>5.4605</v>
      </c>
      <c r="G221" s="227" t="n">
        <v>0.17</v>
      </c>
      <c r="H221" s="227" t="n">
        <v>-0.2</v>
      </c>
      <c r="I221" s="227" t="n">
        <v>0</v>
      </c>
      <c r="K221" s="227" t="n">
        <v>-0.07</v>
      </c>
      <c r="L221" s="227" t="n">
        <v>0</v>
      </c>
      <c r="N221" s="227" t="n">
        <v>-0.32</v>
      </c>
      <c r="O221" s="227" t="n">
        <v>0</v>
      </c>
      <c r="Q221" s="227" t="n">
        <v>0</v>
      </c>
      <c r="R221" s="227" t="n">
        <v>0</v>
      </c>
      <c r="S221" s="227" t="n">
        <v>0</v>
      </c>
      <c r="T221" s="227" t="n">
        <v>0</v>
      </c>
      <c r="U221" s="227" t="n">
        <v>0</v>
      </c>
      <c r="V221" s="227" t="n">
        <v>0</v>
      </c>
      <c r="W221" s="227" t="n">
        <v>-0.808</v>
      </c>
      <c r="X221" s="227" t="n">
        <v>0.0049751167090677</v>
      </c>
      <c r="Y221" s="227" t="n">
        <v>0</v>
      </c>
      <c r="Z221" s="227" t="n">
        <v>0.02</v>
      </c>
      <c r="AB221" s="227" t="n">
        <v>0</v>
      </c>
      <c r="AC221" s="227" t="n">
        <v>0</v>
      </c>
      <c r="AD221" s="226" t="n">
        <v>0.43</v>
      </c>
      <c r="AE221" s="227" t="n">
        <v>0</v>
      </c>
      <c r="AG221" s="227" t="n">
        <v>0.44</v>
      </c>
      <c r="AH221" s="227" t="n">
        <v>0</v>
      </c>
      <c r="AI221" s="227" t="n">
        <v>0.24</v>
      </c>
      <c r="AJ221" s="227" t="n">
        <v>0</v>
      </c>
    </row>
    <row r="222" customFormat="false" ht="12.75" hidden="false" customHeight="false" outlineLevel="0" collapsed="false">
      <c r="D222" s="226" t="n">
        <v>43739</v>
      </c>
      <c r="E222" s="227" t="n">
        <v>0.0552553824895048</v>
      </c>
      <c r="F222" s="227" t="n">
        <v>5.4605</v>
      </c>
      <c r="G222" s="227" t="n">
        <v>0.17</v>
      </c>
      <c r="H222" s="227" t="n">
        <v>-0.2</v>
      </c>
      <c r="I222" s="227" t="n">
        <v>0</v>
      </c>
      <c r="K222" s="227" t="n">
        <v>-0.07</v>
      </c>
      <c r="L222" s="227" t="n">
        <v>0</v>
      </c>
      <c r="N222" s="227" t="n">
        <v>-0.32</v>
      </c>
      <c r="O222" s="227" t="n">
        <v>0</v>
      </c>
      <c r="Q222" s="227" t="n">
        <v>0</v>
      </c>
      <c r="R222" s="227" t="n">
        <v>0</v>
      </c>
      <c r="S222" s="227" t="n">
        <v>0</v>
      </c>
      <c r="T222" s="227" t="n">
        <v>0</v>
      </c>
      <c r="U222" s="227" t="n">
        <v>0</v>
      </c>
      <c r="V222" s="227" t="n">
        <v>0</v>
      </c>
      <c r="W222" s="227" t="n">
        <v>-0.808</v>
      </c>
      <c r="X222" s="227" t="n">
        <v>0.0049763100374094</v>
      </c>
      <c r="Y222" s="227" t="n">
        <v>0</v>
      </c>
      <c r="Z222" s="227" t="n">
        <v>0.02</v>
      </c>
      <c r="AB222" s="227" t="n">
        <v>0</v>
      </c>
      <c r="AC222" s="227" t="n">
        <v>0</v>
      </c>
      <c r="AD222" s="226" t="n">
        <v>0.43</v>
      </c>
      <c r="AE222" s="227" t="n">
        <v>0</v>
      </c>
      <c r="AG222" s="227" t="n">
        <v>0.44</v>
      </c>
      <c r="AH222" s="227" t="n">
        <v>0</v>
      </c>
      <c r="AI222" s="227" t="n">
        <v>0.24</v>
      </c>
      <c r="AJ222" s="227" t="n">
        <v>0</v>
      </c>
    </row>
    <row r="223" customFormat="false" ht="12.75" hidden="false" customHeight="false" outlineLevel="0" collapsed="false">
      <c r="D223" s="226" t="n">
        <v>43770</v>
      </c>
      <c r="E223" s="227" t="n">
        <v>0.0553114399649237</v>
      </c>
      <c r="F223" s="227" t="n">
        <v>5.6305</v>
      </c>
      <c r="G223" s="227" t="n">
        <v>0.17</v>
      </c>
      <c r="H223" s="227" t="n">
        <v>-0.13</v>
      </c>
      <c r="I223" s="227" t="n">
        <v>0</v>
      </c>
      <c r="K223" s="227" t="n">
        <v>-0.07</v>
      </c>
      <c r="L223" s="227" t="n">
        <v>0</v>
      </c>
      <c r="N223" s="227" t="n">
        <v>-0.24</v>
      </c>
      <c r="O223" s="227" t="n">
        <v>0</v>
      </c>
      <c r="Q223" s="227" t="n">
        <v>0</v>
      </c>
      <c r="R223" s="227" t="n">
        <v>0</v>
      </c>
      <c r="S223" s="227" t="n">
        <v>0</v>
      </c>
      <c r="T223" s="227" t="n">
        <v>0</v>
      </c>
      <c r="U223" s="227" t="n">
        <v>0</v>
      </c>
      <c r="V223" s="227" t="n">
        <v>0</v>
      </c>
      <c r="W223" s="227" t="n">
        <v>-0.708</v>
      </c>
      <c r="X223" s="227" t="n">
        <v>0.0049775685026452</v>
      </c>
      <c r="Y223" s="227" t="n">
        <v>0</v>
      </c>
      <c r="Z223" s="227" t="n">
        <v>0.06</v>
      </c>
      <c r="AB223" s="227" t="n">
        <v>0</v>
      </c>
      <c r="AC223" s="227" t="n">
        <v>0</v>
      </c>
      <c r="AD223" s="226" t="n">
        <v>0.35</v>
      </c>
      <c r="AE223" s="227" t="n">
        <v>0</v>
      </c>
      <c r="AG223" s="227" t="n">
        <v>0.5</v>
      </c>
      <c r="AH223" s="227" t="n">
        <v>0</v>
      </c>
      <c r="AI223" s="227" t="n">
        <v>0.3</v>
      </c>
      <c r="AJ223" s="227" t="n">
        <v>0</v>
      </c>
    </row>
    <row r="224" customFormat="false" ht="12.75" hidden="false" customHeight="false" outlineLevel="0" collapsed="false">
      <c r="D224" s="226" t="n">
        <v>43800</v>
      </c>
      <c r="E224" s="227" t="n">
        <v>0.0553656891356806</v>
      </c>
      <c r="F224" s="227" t="n">
        <v>5.7615</v>
      </c>
      <c r="G224" s="227" t="n">
        <v>0.17</v>
      </c>
      <c r="H224" s="227" t="n">
        <v>-0.13</v>
      </c>
      <c r="I224" s="227" t="n">
        <v>0</v>
      </c>
      <c r="K224" s="227" t="n">
        <v>-0.07</v>
      </c>
      <c r="L224" s="227" t="n">
        <v>0</v>
      </c>
      <c r="N224" s="227" t="n">
        <v>-0.24</v>
      </c>
      <c r="O224" s="227" t="n">
        <v>0</v>
      </c>
      <c r="Q224" s="227" t="n">
        <v>0</v>
      </c>
      <c r="R224" s="227" t="n">
        <v>0</v>
      </c>
      <c r="S224" s="227" t="n">
        <v>0</v>
      </c>
      <c r="T224" s="227" t="n">
        <v>0</v>
      </c>
      <c r="U224" s="227" t="n">
        <v>0</v>
      </c>
      <c r="V224" s="227" t="n">
        <v>0</v>
      </c>
      <c r="W224" s="227" t="n">
        <v>-0.708</v>
      </c>
      <c r="X224" s="227" t="n">
        <v>0.0049788109301405</v>
      </c>
      <c r="Y224" s="227" t="n">
        <v>0</v>
      </c>
      <c r="Z224" s="227" t="n">
        <v>0.06</v>
      </c>
      <c r="AB224" s="227" t="n">
        <v>0</v>
      </c>
      <c r="AC224" s="227" t="n">
        <v>0</v>
      </c>
      <c r="AD224" s="226" t="n">
        <v>0.35</v>
      </c>
      <c r="AE224" s="227" t="n">
        <v>0</v>
      </c>
      <c r="AG224" s="227" t="n">
        <v>0.57</v>
      </c>
      <c r="AH224" s="227" t="n">
        <v>0</v>
      </c>
      <c r="AI224" s="227" t="n">
        <v>0.37</v>
      </c>
      <c r="AJ224" s="227" t="n">
        <v>0</v>
      </c>
    </row>
    <row r="225" customFormat="false" ht="12.75" hidden="false" customHeight="false" outlineLevel="0" collapsed="false">
      <c r="D225" s="226" t="n">
        <v>43831</v>
      </c>
      <c r="E225" s="227" t="n">
        <v>0.0554217466131584</v>
      </c>
      <c r="F225" s="227" t="n">
        <v>5.834</v>
      </c>
      <c r="G225" s="227" t="n">
        <v>0.17</v>
      </c>
      <c r="H225" s="227" t="n">
        <v>-0.13</v>
      </c>
      <c r="I225" s="227" t="n">
        <v>0</v>
      </c>
      <c r="K225" s="227" t="n">
        <v>-0.07</v>
      </c>
      <c r="L225" s="227" t="n">
        <v>0</v>
      </c>
      <c r="N225" s="227" t="n">
        <v>-0.24</v>
      </c>
      <c r="O225" s="227" t="n">
        <v>0</v>
      </c>
      <c r="Q225" s="227" t="n">
        <v>0</v>
      </c>
      <c r="R225" s="227" t="n">
        <v>0</v>
      </c>
      <c r="S225" s="227" t="n">
        <v>0</v>
      </c>
      <c r="T225" s="227" t="n">
        <v>0</v>
      </c>
      <c r="U225" s="227" t="n">
        <v>0</v>
      </c>
      <c r="V225" s="227" t="n">
        <v>0</v>
      </c>
      <c r="W225" s="227" t="n">
        <v>-0.708</v>
      </c>
      <c r="X225" s="227" t="n">
        <v>0.0049801201661934</v>
      </c>
      <c r="Y225" s="227" t="n">
        <v>0</v>
      </c>
      <c r="Z225" s="227" t="n">
        <v>0.06</v>
      </c>
      <c r="AB225" s="227" t="n">
        <v>0</v>
      </c>
      <c r="AC225" s="227" t="n">
        <v>0</v>
      </c>
      <c r="AD225" s="226" t="n">
        <v>0.35</v>
      </c>
      <c r="AE225" s="227" t="n">
        <v>0</v>
      </c>
      <c r="AG225" s="227" t="n">
        <v>0.57</v>
      </c>
      <c r="AH225" s="227" t="n">
        <v>0</v>
      </c>
      <c r="AI225" s="227" t="n">
        <v>0.37</v>
      </c>
      <c r="AJ225" s="227" t="n">
        <v>0</v>
      </c>
    </row>
    <row r="226" customFormat="false" ht="12.75" hidden="false" customHeight="false" outlineLevel="0" collapsed="false">
      <c r="D226" s="226" t="n">
        <v>43862</v>
      </c>
      <c r="E226" s="227" t="n">
        <v>0.0554778040916832</v>
      </c>
      <c r="F226" s="227" t="n">
        <v>5.746</v>
      </c>
      <c r="G226" s="227" t="n">
        <v>0.17</v>
      </c>
      <c r="H226" s="227" t="n">
        <v>-0.13</v>
      </c>
      <c r="I226" s="227" t="n">
        <v>0</v>
      </c>
      <c r="K226" s="227" t="n">
        <v>-0.07</v>
      </c>
      <c r="L226" s="227" t="n">
        <v>0</v>
      </c>
      <c r="N226" s="227" t="n">
        <v>-0.24</v>
      </c>
      <c r="O226" s="227" t="n">
        <v>0</v>
      </c>
      <c r="Q226" s="227" t="n">
        <v>0</v>
      </c>
      <c r="R226" s="227" t="n">
        <v>0</v>
      </c>
      <c r="S226" s="227" t="n">
        <v>0</v>
      </c>
      <c r="T226" s="227" t="n">
        <v>0</v>
      </c>
      <c r="U226" s="227" t="n">
        <v>0</v>
      </c>
      <c r="V226" s="227" t="n">
        <v>0</v>
      </c>
      <c r="W226" s="227" t="n">
        <v>-0.708</v>
      </c>
      <c r="X226" s="227" t="n">
        <v>0.004981455231337</v>
      </c>
      <c r="Y226" s="227" t="n">
        <v>0</v>
      </c>
      <c r="Z226" s="227" t="n">
        <v>0.06</v>
      </c>
      <c r="AB226" s="227" t="n">
        <v>0</v>
      </c>
      <c r="AC226" s="227" t="n">
        <v>0</v>
      </c>
      <c r="AD226" s="226" t="n">
        <v>0.35</v>
      </c>
      <c r="AE226" s="227" t="n">
        <v>0</v>
      </c>
      <c r="AG226" s="227" t="n">
        <v>0.57</v>
      </c>
      <c r="AH226" s="227" t="n">
        <v>0</v>
      </c>
      <c r="AI226" s="227" t="n">
        <v>0.37</v>
      </c>
      <c r="AJ226" s="227" t="n">
        <v>0</v>
      </c>
    </row>
    <row r="227" customFormat="false" ht="12.75" hidden="false" customHeight="false" outlineLevel="0" collapsed="false">
      <c r="D227" s="226" t="n">
        <v>43891</v>
      </c>
      <c r="E227" s="227" t="n">
        <v>0.0555302449596371</v>
      </c>
      <c r="F227" s="227" t="n">
        <v>5.607</v>
      </c>
      <c r="G227" s="227" t="n">
        <v>0.17</v>
      </c>
      <c r="H227" s="227" t="n">
        <v>-0.13</v>
      </c>
      <c r="I227" s="227" t="n">
        <v>0</v>
      </c>
      <c r="K227" s="227" t="n">
        <v>-0.07</v>
      </c>
      <c r="L227" s="227" t="n">
        <v>0</v>
      </c>
      <c r="N227" s="227" t="n">
        <v>-0.24</v>
      </c>
      <c r="O227" s="227" t="n">
        <v>0</v>
      </c>
      <c r="Q227" s="227" t="n">
        <v>0</v>
      </c>
      <c r="R227" s="227" t="n">
        <v>0</v>
      </c>
      <c r="S227" s="227" t="n">
        <v>0</v>
      </c>
      <c r="T227" s="227" t="n">
        <v>0</v>
      </c>
      <c r="U227" s="227" t="n">
        <v>0</v>
      </c>
      <c r="V227" s="227" t="n">
        <v>0</v>
      </c>
      <c r="W227" s="227" t="n">
        <v>-0.708</v>
      </c>
      <c r="X227" s="227" t="n">
        <v>0.0049827275633979</v>
      </c>
      <c r="Y227" s="227" t="n">
        <v>0</v>
      </c>
      <c r="Z227" s="227" t="n">
        <v>0.06</v>
      </c>
      <c r="AB227" s="227" t="n">
        <v>0</v>
      </c>
      <c r="AC227" s="227" t="n">
        <v>0</v>
      </c>
      <c r="AD227" s="226" t="n">
        <v>0.35</v>
      </c>
      <c r="AE227" s="227" t="n">
        <v>0</v>
      </c>
      <c r="AG227" s="227" t="n">
        <v>0.57</v>
      </c>
      <c r="AH227" s="227" t="n">
        <v>0</v>
      </c>
      <c r="AI227" s="227" t="n">
        <v>0.37</v>
      </c>
      <c r="AJ227" s="227" t="n">
        <v>0</v>
      </c>
    </row>
    <row r="228" customFormat="false" ht="12.75" hidden="false" customHeight="false" outlineLevel="0" collapsed="false">
      <c r="D228" s="226" t="n">
        <v>43922</v>
      </c>
      <c r="E228" s="227" t="n">
        <v>0.0555863024401875</v>
      </c>
      <c r="F228" s="227" t="n">
        <v>5.453</v>
      </c>
      <c r="G228" s="227" t="n">
        <v>0.17</v>
      </c>
      <c r="H228" s="227" t="n">
        <v>-0.2</v>
      </c>
      <c r="I228" s="227" t="n">
        <v>0</v>
      </c>
      <c r="K228" s="227" t="n">
        <v>-0.07</v>
      </c>
      <c r="L228" s="227" t="n">
        <v>0</v>
      </c>
      <c r="N228" s="227" t="n">
        <v>-0.32</v>
      </c>
      <c r="O228" s="227" t="n">
        <v>0</v>
      </c>
      <c r="Q228" s="227" t="n">
        <v>0</v>
      </c>
      <c r="R228" s="227" t="n">
        <v>0</v>
      </c>
      <c r="S228" s="227" t="n">
        <v>0</v>
      </c>
      <c r="T228" s="227" t="n">
        <v>0</v>
      </c>
      <c r="U228" s="227" t="n">
        <v>0</v>
      </c>
      <c r="V228" s="227" t="n">
        <v>0</v>
      </c>
      <c r="W228" s="227" t="n">
        <v>-0.808</v>
      </c>
      <c r="X228" s="227" t="n">
        <v>0.0049841126748891</v>
      </c>
      <c r="Y228" s="227" t="n">
        <v>0</v>
      </c>
      <c r="Z228" s="227" t="n">
        <v>0.02</v>
      </c>
      <c r="AB228" s="227" t="n">
        <v>0</v>
      </c>
      <c r="AC228" s="227" t="n">
        <v>0</v>
      </c>
      <c r="AD228" s="226" t="n">
        <v>0.43</v>
      </c>
      <c r="AE228" s="227" t="n">
        <v>0</v>
      </c>
      <c r="AG228" s="227" t="n">
        <v>0.44</v>
      </c>
      <c r="AH228" s="227" t="n">
        <v>0</v>
      </c>
      <c r="AI228" s="227" t="n">
        <v>0.24</v>
      </c>
      <c r="AJ228" s="227" t="n">
        <v>0</v>
      </c>
    </row>
    <row r="229" customFormat="false" ht="12.75" hidden="false" customHeight="false" outlineLevel="0" collapsed="false">
      <c r="D229" s="226" t="n">
        <v>43952</v>
      </c>
      <c r="E229" s="227" t="n">
        <v>0.0556405516159093</v>
      </c>
      <c r="F229" s="227" t="n">
        <v>5.458</v>
      </c>
      <c r="G229" s="227" t="n">
        <v>0.17</v>
      </c>
      <c r="H229" s="227" t="n">
        <v>-0.2</v>
      </c>
      <c r="I229" s="227" t="n">
        <v>0</v>
      </c>
      <c r="K229" s="227" t="n">
        <v>-0.07</v>
      </c>
      <c r="L229" s="227" t="n">
        <v>0</v>
      </c>
      <c r="N229" s="227" t="n">
        <v>-0.32</v>
      </c>
      <c r="O229" s="227" t="n">
        <v>0</v>
      </c>
      <c r="Q229" s="227" t="n">
        <v>0</v>
      </c>
      <c r="R229" s="227" t="n">
        <v>0</v>
      </c>
      <c r="S229" s="227" t="n">
        <v>0</v>
      </c>
      <c r="T229" s="227" t="n">
        <v>0</v>
      </c>
      <c r="U229" s="227" t="n">
        <v>0</v>
      </c>
      <c r="V229" s="227" t="n">
        <v>0</v>
      </c>
      <c r="W229" s="227" t="n">
        <v>-0.808</v>
      </c>
      <c r="X229" s="227" t="n">
        <v>0.0049854777523071</v>
      </c>
      <c r="Y229" s="227" t="n">
        <v>0</v>
      </c>
      <c r="Z229" s="227" t="n">
        <v>0.02</v>
      </c>
      <c r="AB229" s="227" t="n">
        <v>0</v>
      </c>
      <c r="AC229" s="227" t="n">
        <v>0</v>
      </c>
      <c r="AD229" s="226" t="n">
        <v>0.43</v>
      </c>
      <c r="AE229" s="227" t="n">
        <v>0</v>
      </c>
      <c r="AG229" s="227" t="n">
        <v>0.44</v>
      </c>
      <c r="AH229" s="227" t="n">
        <v>0</v>
      </c>
      <c r="AI229" s="227" t="n">
        <v>0.24</v>
      </c>
      <c r="AJ229" s="227" t="n">
        <v>0</v>
      </c>
    </row>
    <row r="230" customFormat="false" ht="12.75" hidden="false" customHeight="false" outlineLevel="0" collapsed="false">
      <c r="D230" s="226" t="n">
        <v>43983</v>
      </c>
      <c r="E230" s="227" t="n">
        <v>0.055696609098518</v>
      </c>
      <c r="F230" s="227" t="n">
        <v>5.496</v>
      </c>
      <c r="G230" s="227" t="n">
        <v>0.17</v>
      </c>
      <c r="H230" s="227" t="n">
        <v>-0.2</v>
      </c>
      <c r="I230" s="227" t="n">
        <v>0</v>
      </c>
      <c r="K230" s="227" t="n">
        <v>-0.07</v>
      </c>
      <c r="L230" s="227" t="n">
        <v>0</v>
      </c>
      <c r="N230" s="227" t="n">
        <v>-0.32</v>
      </c>
      <c r="O230" s="227" t="n">
        <v>0</v>
      </c>
      <c r="Q230" s="227" t="n">
        <v>0</v>
      </c>
      <c r="R230" s="227" t="n">
        <v>0</v>
      </c>
      <c r="S230" s="227" t="n">
        <v>0</v>
      </c>
      <c r="T230" s="227" t="n">
        <v>0</v>
      </c>
      <c r="U230" s="227" t="n">
        <v>0</v>
      </c>
      <c r="V230" s="227" t="n">
        <v>0</v>
      </c>
      <c r="W230" s="227" t="n">
        <v>-0.808</v>
      </c>
      <c r="X230" s="227" t="n">
        <v>0.0049869138205244</v>
      </c>
      <c r="Y230" s="227" t="n">
        <v>0</v>
      </c>
      <c r="Z230" s="227" t="n">
        <v>0.02</v>
      </c>
      <c r="AB230" s="227" t="n">
        <v>0</v>
      </c>
      <c r="AC230" s="227" t="n">
        <v>0</v>
      </c>
      <c r="AD230" s="226" t="n">
        <v>0.43</v>
      </c>
      <c r="AE230" s="227" t="n">
        <v>0</v>
      </c>
      <c r="AG230" s="227" t="n">
        <v>0.44</v>
      </c>
      <c r="AH230" s="227" t="n">
        <v>0</v>
      </c>
      <c r="AI230" s="227" t="n">
        <v>0.24</v>
      </c>
      <c r="AJ230" s="227" t="n">
        <v>0</v>
      </c>
    </row>
    <row r="231" customFormat="false" ht="12.75" hidden="false" customHeight="false" outlineLevel="0" collapsed="false">
      <c r="D231" s="226" t="n">
        <v>44013</v>
      </c>
      <c r="E231" s="227" t="n">
        <v>0.0557508582762325</v>
      </c>
      <c r="F231" s="227" t="n">
        <v>5.541</v>
      </c>
      <c r="G231" s="227" t="n">
        <v>0.17</v>
      </c>
      <c r="H231" s="227" t="n">
        <v>-0.2</v>
      </c>
      <c r="I231" s="227" t="n">
        <v>0</v>
      </c>
      <c r="K231" s="227" t="n">
        <v>-0.07</v>
      </c>
      <c r="L231" s="227" t="n">
        <v>0</v>
      </c>
      <c r="N231" s="227" t="n">
        <v>-0.32</v>
      </c>
      <c r="O231" s="227" t="n">
        <v>0</v>
      </c>
      <c r="Q231" s="227" t="n">
        <v>0</v>
      </c>
      <c r="R231" s="227" t="n">
        <v>0</v>
      </c>
      <c r="S231" s="227" t="n">
        <v>0</v>
      </c>
      <c r="T231" s="227" t="n">
        <v>0</v>
      </c>
      <c r="U231" s="227" t="n">
        <v>0</v>
      </c>
      <c r="V231" s="227" t="n">
        <v>0</v>
      </c>
      <c r="W231" s="227" t="n">
        <v>-0.808</v>
      </c>
      <c r="X231" s="227" t="n">
        <v>0.0049883282492152</v>
      </c>
      <c r="Y231" s="227" t="n">
        <v>0</v>
      </c>
      <c r="Z231" s="227" t="n">
        <v>0.02</v>
      </c>
      <c r="AB231" s="227" t="n">
        <v>0</v>
      </c>
      <c r="AC231" s="227" t="n">
        <v>0</v>
      </c>
      <c r="AD231" s="226" t="n">
        <v>0.43</v>
      </c>
      <c r="AE231" s="227" t="n">
        <v>0</v>
      </c>
      <c r="AG231" s="227" t="n">
        <v>0.44</v>
      </c>
      <c r="AH231" s="227" t="n">
        <v>0</v>
      </c>
      <c r="AI231" s="227" t="n">
        <v>0.24</v>
      </c>
      <c r="AJ231" s="227" t="n">
        <v>0</v>
      </c>
    </row>
    <row r="232" customFormat="false" ht="12.75" hidden="false" customHeight="false" outlineLevel="0" collapsed="false">
      <c r="D232" s="226" t="n">
        <v>44044</v>
      </c>
      <c r="E232" s="227" t="n">
        <v>0.0558069157609005</v>
      </c>
      <c r="F232" s="227" t="n">
        <v>5.579</v>
      </c>
      <c r="G232" s="227" t="n">
        <v>0.17</v>
      </c>
      <c r="H232" s="227" t="n">
        <v>-0.2</v>
      </c>
      <c r="I232" s="227" t="n">
        <v>0</v>
      </c>
      <c r="K232" s="227" t="n">
        <v>-0.07</v>
      </c>
      <c r="L232" s="227" t="n">
        <v>0</v>
      </c>
      <c r="N232" s="227" t="n">
        <v>-0.32</v>
      </c>
      <c r="O232" s="227" t="n">
        <v>0</v>
      </c>
      <c r="Q232" s="227" t="n">
        <v>0</v>
      </c>
      <c r="R232" s="227" t="n">
        <v>0</v>
      </c>
      <c r="S232" s="227" t="n">
        <v>0</v>
      </c>
      <c r="T232" s="227" t="n">
        <v>0</v>
      </c>
      <c r="U232" s="227" t="n">
        <v>0</v>
      </c>
      <c r="V232" s="227" t="n">
        <v>0</v>
      </c>
      <c r="W232" s="227" t="n">
        <v>-0.808</v>
      </c>
      <c r="X232" s="227" t="n">
        <v>0.0049898153541077</v>
      </c>
      <c r="Y232" s="227" t="n">
        <v>0</v>
      </c>
      <c r="Z232" s="227" t="n">
        <v>0.02</v>
      </c>
      <c r="AB232" s="227" t="n">
        <v>0</v>
      </c>
      <c r="AC232" s="227" t="n">
        <v>0</v>
      </c>
      <c r="AD232" s="226" t="n">
        <v>0.43</v>
      </c>
      <c r="AE232" s="227" t="n">
        <v>0</v>
      </c>
      <c r="AG232" s="227" t="n">
        <v>0.44</v>
      </c>
      <c r="AH232" s="227" t="n">
        <v>0</v>
      </c>
      <c r="AI232" s="227" t="n">
        <v>0.24</v>
      </c>
      <c r="AJ232" s="227" t="n">
        <v>0</v>
      </c>
    </row>
    <row r="233" customFormat="false" ht="12.75" hidden="false" customHeight="false" outlineLevel="0" collapsed="false">
      <c r="D233" s="226" t="n">
        <v>44075</v>
      </c>
      <c r="E233" s="227" t="n">
        <v>0.0558629732466143</v>
      </c>
      <c r="F233" s="227" t="n">
        <v>5.573</v>
      </c>
      <c r="G233" s="227" t="n">
        <v>0.17</v>
      </c>
      <c r="H233" s="227" t="n">
        <v>-0.2</v>
      </c>
      <c r="I233" s="227" t="n">
        <v>0</v>
      </c>
      <c r="K233" s="227" t="n">
        <v>-0.07</v>
      </c>
      <c r="L233" s="227" t="n">
        <v>0</v>
      </c>
      <c r="N233" s="227" t="n">
        <v>-0.32</v>
      </c>
      <c r="O233" s="227" t="n">
        <v>0</v>
      </c>
      <c r="Q233" s="227" t="n">
        <v>0</v>
      </c>
      <c r="R233" s="227" t="n">
        <v>0</v>
      </c>
      <c r="S233" s="227" t="n">
        <v>0</v>
      </c>
      <c r="T233" s="227" t="n">
        <v>0</v>
      </c>
      <c r="U233" s="227" t="n">
        <v>0</v>
      </c>
      <c r="V233" s="227" t="n">
        <v>0</v>
      </c>
      <c r="W233" s="227" t="n">
        <v>-0.808</v>
      </c>
      <c r="X233" s="227" t="n">
        <v>0.0049913284272933</v>
      </c>
      <c r="Y233" s="227" t="n">
        <v>0</v>
      </c>
      <c r="Z233" s="227" t="n">
        <v>0.02</v>
      </c>
      <c r="AB233" s="227" t="n">
        <v>0</v>
      </c>
      <c r="AC233" s="227" t="n">
        <v>0</v>
      </c>
      <c r="AD233" s="226" t="n">
        <v>0.43</v>
      </c>
      <c r="AE233" s="227" t="n">
        <v>0</v>
      </c>
      <c r="AG233" s="227" t="n">
        <v>0.44</v>
      </c>
      <c r="AH233" s="227" t="n">
        <v>0</v>
      </c>
      <c r="AI233" s="227" t="n">
        <v>0.24</v>
      </c>
      <c r="AJ233" s="227" t="n">
        <v>0</v>
      </c>
    </row>
    <row r="234" customFormat="false" ht="12.75" hidden="false" customHeight="false" outlineLevel="0" collapsed="false">
      <c r="D234" s="226" t="n">
        <v>44105</v>
      </c>
      <c r="E234" s="227" t="n">
        <v>0.0559172224273334</v>
      </c>
      <c r="F234" s="227" t="n">
        <v>5.573</v>
      </c>
      <c r="G234" s="227" t="n">
        <v>0.17</v>
      </c>
      <c r="H234" s="227" t="n">
        <v>-0.2</v>
      </c>
      <c r="I234" s="227" t="n">
        <v>0</v>
      </c>
      <c r="K234" s="227" t="n">
        <v>-0.07</v>
      </c>
      <c r="L234" s="227" t="n">
        <v>0</v>
      </c>
      <c r="N234" s="227" t="n">
        <v>-0.32</v>
      </c>
      <c r="O234" s="227" t="n">
        <v>0</v>
      </c>
      <c r="Q234" s="227" t="n">
        <v>0</v>
      </c>
      <c r="R234" s="227" t="n">
        <v>0</v>
      </c>
      <c r="S234" s="227" t="n">
        <v>0</v>
      </c>
      <c r="T234" s="227" t="n">
        <v>0</v>
      </c>
      <c r="U234" s="227" t="n">
        <v>0</v>
      </c>
      <c r="V234" s="227" t="n">
        <v>0</v>
      </c>
      <c r="W234" s="227" t="n">
        <v>-0.808</v>
      </c>
      <c r="X234" s="227" t="n">
        <v>0.0049928174375123</v>
      </c>
      <c r="Y234" s="227" t="n">
        <v>0</v>
      </c>
      <c r="Z234" s="227" t="n">
        <v>0.02</v>
      </c>
      <c r="AB234" s="227" t="n">
        <v>0</v>
      </c>
      <c r="AC234" s="227" t="n">
        <v>0</v>
      </c>
      <c r="AD234" s="226" t="n">
        <v>0.43</v>
      </c>
      <c r="AE234" s="227" t="n">
        <v>0</v>
      </c>
      <c r="AG234" s="227" t="n">
        <v>0.44</v>
      </c>
      <c r="AH234" s="227" t="n">
        <v>0</v>
      </c>
      <c r="AI234" s="227" t="n">
        <v>0.24</v>
      </c>
      <c r="AJ234" s="227" t="n">
        <v>0</v>
      </c>
    </row>
    <row r="235" customFormat="false" ht="12.75" hidden="false" customHeight="false" outlineLevel="0" collapsed="false">
      <c r="D235" s="226" t="n">
        <v>44136</v>
      </c>
      <c r="E235" s="227" t="n">
        <v>0.055973279915106</v>
      </c>
      <c r="F235" s="227" t="n">
        <v>5.743</v>
      </c>
      <c r="G235" s="227" t="n">
        <v>0.17</v>
      </c>
      <c r="H235" s="227" t="n">
        <v>0</v>
      </c>
      <c r="I235" s="227" t="n">
        <v>0</v>
      </c>
      <c r="K235" s="227" t="n">
        <v>-0.07</v>
      </c>
      <c r="L235" s="227" t="n">
        <v>0</v>
      </c>
      <c r="N235" s="227" t="n">
        <v>0</v>
      </c>
      <c r="O235" s="227" t="n">
        <v>0</v>
      </c>
      <c r="Q235" s="227" t="n">
        <v>0</v>
      </c>
      <c r="R235" s="227" t="n">
        <v>0</v>
      </c>
      <c r="S235" s="227" t="n">
        <v>0</v>
      </c>
      <c r="T235" s="227" t="n">
        <v>0</v>
      </c>
      <c r="U235" s="227" t="n">
        <v>0</v>
      </c>
      <c r="V235" s="227" t="n">
        <v>0</v>
      </c>
      <c r="W235" s="227" t="n">
        <v>-0.708</v>
      </c>
      <c r="X235" s="227" t="n">
        <v>0.0049943816737607</v>
      </c>
      <c r="Y235" s="227" t="n">
        <v>0</v>
      </c>
      <c r="Z235" s="227" t="n">
        <v>0.06</v>
      </c>
      <c r="AB235" s="227" t="n">
        <v>0</v>
      </c>
      <c r="AC235" s="227" t="n">
        <v>0</v>
      </c>
      <c r="AD235" s="226" t="n">
        <v>0.35</v>
      </c>
      <c r="AE235" s="227" t="n">
        <v>0</v>
      </c>
      <c r="AG235" s="227" t="n">
        <v>0.5</v>
      </c>
      <c r="AH235" s="227" t="n">
        <v>0</v>
      </c>
      <c r="AI235" s="227" t="n">
        <v>0.3</v>
      </c>
      <c r="AJ235" s="227" t="n">
        <v>0</v>
      </c>
    </row>
    <row r="236" customFormat="false" ht="12.75" hidden="false" customHeight="false" outlineLevel="0" collapsed="false">
      <c r="D236" s="226" t="n">
        <v>44166</v>
      </c>
      <c r="E236" s="227" t="n">
        <v>0.0560275290978174</v>
      </c>
      <c r="F236" s="227" t="n">
        <v>5.874</v>
      </c>
      <c r="G236" s="227" t="n">
        <v>0.17</v>
      </c>
      <c r="H236" s="227" t="n">
        <v>0</v>
      </c>
      <c r="I236" s="227" t="n">
        <v>0</v>
      </c>
      <c r="K236" s="227" t="n">
        <v>-0.07</v>
      </c>
      <c r="L236" s="227" t="n">
        <v>0</v>
      </c>
      <c r="N236" s="227" t="n">
        <v>0</v>
      </c>
      <c r="O236" s="227" t="n">
        <v>0</v>
      </c>
      <c r="Q236" s="227" t="n">
        <v>0</v>
      </c>
      <c r="R236" s="227" t="n">
        <v>0</v>
      </c>
      <c r="S236" s="227" t="n">
        <v>0</v>
      </c>
      <c r="T236" s="227" t="n">
        <v>0</v>
      </c>
      <c r="U236" s="227" t="n">
        <v>0</v>
      </c>
      <c r="V236" s="227" t="n">
        <v>0</v>
      </c>
      <c r="W236" s="227" t="n">
        <v>-0.708</v>
      </c>
      <c r="X236" s="227" t="n">
        <v>0.0049959202386636</v>
      </c>
      <c r="Y236" s="227" t="n">
        <v>0</v>
      </c>
      <c r="Z236" s="227" t="n">
        <v>0.06</v>
      </c>
      <c r="AB236" s="227" t="n">
        <v>0</v>
      </c>
      <c r="AC236" s="227" t="n">
        <v>0</v>
      </c>
      <c r="AD236" s="226" t="n">
        <v>0.35</v>
      </c>
      <c r="AE236" s="227" t="n">
        <v>0</v>
      </c>
      <c r="AG236" s="227" t="n">
        <v>0.57</v>
      </c>
      <c r="AH236" s="227" t="n">
        <v>0</v>
      </c>
      <c r="AI236" s="227" t="n">
        <v>0.37</v>
      </c>
      <c r="AJ236" s="227" t="n">
        <v>0</v>
      </c>
    </row>
    <row r="237" customFormat="false" ht="12.75" hidden="false" customHeight="false" outlineLevel="0" collapsed="false">
      <c r="D237" s="226" t="n">
        <v>44197</v>
      </c>
      <c r="E237" s="227" t="n">
        <v>0.0560835865876483</v>
      </c>
      <c r="F237" s="227" t="n">
        <v>5.9465</v>
      </c>
      <c r="G237" s="227" t="n">
        <v>0.17</v>
      </c>
      <c r="H237" s="227" t="n">
        <v>0</v>
      </c>
      <c r="I237" s="227" t="n">
        <v>0</v>
      </c>
      <c r="K237" s="227" t="n">
        <v>-0.07</v>
      </c>
      <c r="L237" s="227" t="n">
        <v>0</v>
      </c>
      <c r="N237" s="227" t="n">
        <v>0</v>
      </c>
      <c r="O237" s="227" t="n">
        <v>0</v>
      </c>
      <c r="Q237" s="227" t="n">
        <v>0</v>
      </c>
      <c r="R237" s="227" t="n">
        <v>0</v>
      </c>
      <c r="S237" s="227" t="n">
        <v>0</v>
      </c>
      <c r="T237" s="227" t="n">
        <v>0</v>
      </c>
      <c r="U237" s="227" t="n">
        <v>0</v>
      </c>
      <c r="V237" s="227" t="n">
        <v>0</v>
      </c>
      <c r="AB237" s="227" t="n">
        <v>0</v>
      </c>
      <c r="AC237" s="227" t="n">
        <v>0</v>
      </c>
      <c r="AD237" s="226" t="n">
        <v>0.35</v>
      </c>
      <c r="AE237" s="227" t="n">
        <v>0</v>
      </c>
      <c r="AG237" s="227" t="n">
        <v>0.57</v>
      </c>
      <c r="AH237" s="227" t="n">
        <v>0</v>
      </c>
      <c r="AI237" s="227" t="n">
        <v>0.37</v>
      </c>
      <c r="AJ237" s="227" t="n">
        <v>0</v>
      </c>
    </row>
    <row r="238" customFormat="false" ht="12.75" hidden="false" customHeight="false" outlineLevel="0" collapsed="false">
      <c r="D238" s="226" t="n">
        <v>44228</v>
      </c>
      <c r="E238" s="227" t="n">
        <v>0.056139644078526</v>
      </c>
      <c r="F238" s="227" t="n">
        <v>5.8585</v>
      </c>
      <c r="G238" s="227" t="n">
        <v>0.17</v>
      </c>
      <c r="H238" s="227" t="n">
        <v>0</v>
      </c>
      <c r="I238" s="227" t="n">
        <v>0</v>
      </c>
      <c r="K238" s="227" t="n">
        <v>-0.07</v>
      </c>
      <c r="L238" s="227" t="n">
        <v>0</v>
      </c>
      <c r="N238" s="227" t="n">
        <v>0</v>
      </c>
      <c r="O238" s="227" t="n">
        <v>0</v>
      </c>
      <c r="Q238" s="227" t="n">
        <v>0</v>
      </c>
      <c r="R238" s="227" t="n">
        <v>0</v>
      </c>
      <c r="S238" s="227" t="n">
        <v>0</v>
      </c>
      <c r="T238" s="227" t="n">
        <v>0</v>
      </c>
      <c r="U238" s="227" t="n">
        <v>0</v>
      </c>
      <c r="V238" s="227" t="n">
        <v>0</v>
      </c>
      <c r="AB238" s="227" t="n">
        <v>0</v>
      </c>
      <c r="AC238" s="227" t="n">
        <v>0</v>
      </c>
      <c r="AD238" s="226" t="n">
        <v>0.35</v>
      </c>
      <c r="AE238" s="227" t="n">
        <v>0</v>
      </c>
      <c r="AG238" s="227" t="n">
        <v>0.57</v>
      </c>
      <c r="AH238" s="227" t="n">
        <v>0</v>
      </c>
      <c r="AI238" s="227" t="n">
        <v>0.37</v>
      </c>
      <c r="AJ238" s="227" t="n">
        <v>0</v>
      </c>
    </row>
    <row r="239" customFormat="false" ht="12.75" hidden="false" customHeight="false" outlineLevel="0" collapsed="false">
      <c r="D239" s="226" t="n">
        <v>44256</v>
      </c>
      <c r="E239" s="227" t="n">
        <v>0.0561902766518303</v>
      </c>
      <c r="F239" s="227" t="n">
        <v>5.7195</v>
      </c>
      <c r="G239" s="227" t="n">
        <v>0.17</v>
      </c>
      <c r="H239" s="227" t="n">
        <v>0</v>
      </c>
      <c r="I239" s="227" t="n">
        <v>0</v>
      </c>
      <c r="K239" s="227" t="n">
        <v>-0.07</v>
      </c>
      <c r="L239" s="227" t="n">
        <v>0</v>
      </c>
      <c r="N239" s="227" t="n">
        <v>0</v>
      </c>
      <c r="O239" s="227" t="n">
        <v>0</v>
      </c>
      <c r="Q239" s="227" t="n">
        <v>0</v>
      </c>
      <c r="R239" s="227" t="n">
        <v>0</v>
      </c>
      <c r="S239" s="227" t="n">
        <v>0</v>
      </c>
      <c r="T239" s="227" t="n">
        <v>0</v>
      </c>
      <c r="U239" s="227" t="n">
        <v>0</v>
      </c>
      <c r="V239" s="227" t="n">
        <v>0</v>
      </c>
      <c r="AB239" s="227" t="n">
        <v>0</v>
      </c>
      <c r="AC239" s="227" t="n">
        <v>0</v>
      </c>
      <c r="AD239" s="226" t="n">
        <v>0.35</v>
      </c>
      <c r="AE239" s="227" t="n">
        <v>0</v>
      </c>
      <c r="AG239" s="227" t="n">
        <v>0.57</v>
      </c>
      <c r="AH239" s="227" t="n">
        <v>0</v>
      </c>
      <c r="AI239" s="227" t="n">
        <v>0.37</v>
      </c>
      <c r="AJ239" s="227" t="n">
        <v>0</v>
      </c>
    </row>
    <row r="240" customFormat="false" ht="12.75" hidden="false" customHeight="false" outlineLevel="0" collapsed="false">
      <c r="D240" s="226" t="n">
        <v>44287</v>
      </c>
      <c r="E240" s="227" t="n">
        <v>0.0562463341446984</v>
      </c>
      <c r="F240" s="227" t="n">
        <v>5.5655</v>
      </c>
      <c r="G240" s="227" t="n">
        <v>0.17</v>
      </c>
      <c r="H240" s="227" t="n">
        <v>0</v>
      </c>
      <c r="I240" s="227" t="n">
        <v>0</v>
      </c>
      <c r="K240" s="227" t="n">
        <v>-0.07</v>
      </c>
      <c r="L240" s="227" t="n">
        <v>0</v>
      </c>
      <c r="N240" s="227" t="n">
        <v>0</v>
      </c>
      <c r="O240" s="227" t="n">
        <v>0</v>
      </c>
      <c r="Q240" s="227" t="n">
        <v>0</v>
      </c>
      <c r="R240" s="227" t="n">
        <v>0</v>
      </c>
      <c r="S240" s="227" t="n">
        <v>0</v>
      </c>
      <c r="T240" s="227" t="n">
        <v>0</v>
      </c>
      <c r="U240" s="227" t="n">
        <v>0</v>
      </c>
      <c r="V240" s="227" t="n">
        <v>0</v>
      </c>
      <c r="AB240" s="227" t="n">
        <v>0</v>
      </c>
      <c r="AC240" s="227" t="n">
        <v>0</v>
      </c>
      <c r="AD240" s="226" t="n">
        <v>0.43</v>
      </c>
      <c r="AE240" s="227" t="n">
        <v>0</v>
      </c>
      <c r="AG240" s="227" t="n">
        <v>0.44</v>
      </c>
      <c r="AH240" s="227" t="n">
        <v>0</v>
      </c>
      <c r="AI240" s="227" t="n">
        <v>0.24</v>
      </c>
      <c r="AJ240" s="227" t="n">
        <v>0</v>
      </c>
    </row>
    <row r="241" customFormat="false" ht="12.75" hidden="false" customHeight="false" outlineLevel="0" collapsed="false">
      <c r="D241" s="226" t="n">
        <v>44317</v>
      </c>
      <c r="E241" s="227" t="n">
        <v>0.0563005833323409</v>
      </c>
      <c r="F241" s="227" t="n">
        <v>5.5705</v>
      </c>
      <c r="G241" s="227" t="n">
        <v>0.17</v>
      </c>
      <c r="H241" s="227" t="n">
        <v>0</v>
      </c>
      <c r="I241" s="227" t="n">
        <v>0</v>
      </c>
      <c r="K241" s="227" t="n">
        <v>-0.07</v>
      </c>
      <c r="L241" s="227" t="n">
        <v>0</v>
      </c>
      <c r="N241" s="227" t="n">
        <v>0</v>
      </c>
      <c r="O241" s="227" t="n">
        <v>0</v>
      </c>
      <c r="Q241" s="227" t="n">
        <v>0</v>
      </c>
      <c r="R241" s="227" t="n">
        <v>0</v>
      </c>
      <c r="S241" s="227" t="n">
        <v>0</v>
      </c>
      <c r="T241" s="227" t="n">
        <v>0</v>
      </c>
      <c r="U241" s="227" t="n">
        <v>0</v>
      </c>
      <c r="V241" s="227" t="n">
        <v>0</v>
      </c>
      <c r="AB241" s="227" t="n">
        <v>0</v>
      </c>
      <c r="AC241" s="227" t="n">
        <v>0</v>
      </c>
      <c r="AD241" s="226" t="n">
        <v>0.43</v>
      </c>
      <c r="AE241" s="227" t="n">
        <v>0</v>
      </c>
      <c r="AG241" s="227" t="n">
        <v>0.44</v>
      </c>
      <c r="AH241" s="227" t="n">
        <v>0</v>
      </c>
      <c r="AI241" s="227" t="n">
        <v>0.24</v>
      </c>
      <c r="AJ241" s="227" t="n">
        <v>0</v>
      </c>
    </row>
    <row r="242" customFormat="false" ht="12.75" hidden="false" customHeight="false" outlineLevel="0" collapsed="false">
      <c r="D242" s="226" t="n">
        <v>44348</v>
      </c>
      <c r="E242" s="227" t="n">
        <v>0.0563566408272673</v>
      </c>
      <c r="F242" s="227" t="n">
        <v>5.6085</v>
      </c>
      <c r="G242" s="227" t="n">
        <v>0.17</v>
      </c>
      <c r="H242" s="227" t="n">
        <v>0</v>
      </c>
      <c r="I242" s="227" t="n">
        <v>0</v>
      </c>
      <c r="K242" s="227" t="n">
        <v>-0.07</v>
      </c>
      <c r="L242" s="227" t="n">
        <v>0</v>
      </c>
      <c r="N242" s="227" t="n">
        <v>0</v>
      </c>
      <c r="O242" s="227" t="n">
        <v>0</v>
      </c>
      <c r="Q242" s="227" t="n">
        <v>0</v>
      </c>
      <c r="R242" s="227" t="n">
        <v>0</v>
      </c>
      <c r="S242" s="227" t="n">
        <v>0</v>
      </c>
      <c r="T242" s="227" t="n">
        <v>0</v>
      </c>
      <c r="U242" s="227" t="n">
        <v>0</v>
      </c>
      <c r="V242" s="227" t="n">
        <v>0</v>
      </c>
      <c r="AB242" s="227" t="n">
        <v>0</v>
      </c>
      <c r="AC242" s="227" t="n">
        <v>0</v>
      </c>
      <c r="AD242" s="226" t="n">
        <v>0.43</v>
      </c>
      <c r="AE242" s="227" t="n">
        <v>0</v>
      </c>
      <c r="AG242" s="227" t="n">
        <v>0.44</v>
      </c>
      <c r="AH242" s="227" t="n">
        <v>0</v>
      </c>
      <c r="AI242" s="227" t="n">
        <v>0.24</v>
      </c>
      <c r="AJ242" s="227" t="n">
        <v>0</v>
      </c>
    </row>
    <row r="243" customFormat="false" ht="12.75" hidden="false" customHeight="false" outlineLevel="0" collapsed="false">
      <c r="D243" s="226" t="n">
        <v>44378</v>
      </c>
      <c r="E243" s="227" t="n">
        <v>0.0564108900169016</v>
      </c>
      <c r="F243" s="227" t="n">
        <v>5.6535</v>
      </c>
      <c r="G243" s="227" t="n">
        <v>0.17</v>
      </c>
      <c r="H243" s="227" t="n">
        <v>0</v>
      </c>
      <c r="I243" s="227" t="n">
        <v>0</v>
      </c>
      <c r="K243" s="227" t="n">
        <v>-0.07</v>
      </c>
      <c r="L243" s="227" t="n">
        <v>0</v>
      </c>
      <c r="N243" s="227" t="n">
        <v>0</v>
      </c>
      <c r="O243" s="227" t="n">
        <v>0</v>
      </c>
      <c r="Q243" s="227" t="n">
        <v>0</v>
      </c>
      <c r="R243" s="227" t="n">
        <v>0</v>
      </c>
      <c r="S243" s="227" t="n">
        <v>0</v>
      </c>
      <c r="T243" s="227" t="n">
        <v>0</v>
      </c>
      <c r="U243" s="227" t="n">
        <v>0</v>
      </c>
      <c r="V243" s="227" t="n">
        <v>0</v>
      </c>
      <c r="AB243" s="227" t="n">
        <v>0</v>
      </c>
      <c r="AC243" s="227" t="n">
        <v>0</v>
      </c>
      <c r="AD243" s="226" t="n">
        <v>0.43</v>
      </c>
      <c r="AE243" s="227" t="n">
        <v>0</v>
      </c>
      <c r="AG243" s="227" t="n">
        <v>0.44</v>
      </c>
      <c r="AH243" s="227" t="n">
        <v>0</v>
      </c>
      <c r="AI243" s="227" t="n">
        <v>0.24</v>
      </c>
      <c r="AJ243" s="227" t="n">
        <v>0</v>
      </c>
    </row>
    <row r="244" customFormat="false" ht="12.75" hidden="false" customHeight="false" outlineLevel="0" collapsed="false">
      <c r="D244" s="226" t="n">
        <v>44409</v>
      </c>
      <c r="E244" s="227" t="n">
        <v>0.0564669475138864</v>
      </c>
      <c r="F244" s="227" t="n">
        <v>5.6915</v>
      </c>
      <c r="G244" s="227" t="n">
        <v>0.17</v>
      </c>
      <c r="H244" s="227" t="n">
        <v>0</v>
      </c>
      <c r="I244" s="227" t="n">
        <v>0</v>
      </c>
      <c r="K244" s="227" t="n">
        <v>-0.07</v>
      </c>
      <c r="L244" s="227" t="n">
        <v>0</v>
      </c>
      <c r="N244" s="227" t="n">
        <v>0</v>
      </c>
      <c r="O244" s="227" t="n">
        <v>0</v>
      </c>
      <c r="Q244" s="227" t="n">
        <v>0</v>
      </c>
      <c r="R244" s="227" t="n">
        <v>0</v>
      </c>
      <c r="S244" s="227" t="n">
        <v>0</v>
      </c>
      <c r="T244" s="227" t="n">
        <v>0</v>
      </c>
      <c r="U244" s="227" t="n">
        <v>0</v>
      </c>
      <c r="V244" s="227" t="n">
        <v>0</v>
      </c>
      <c r="AB244" s="227" t="n">
        <v>0</v>
      </c>
      <c r="AC244" s="227" t="n">
        <v>0</v>
      </c>
      <c r="AD244" s="226" t="n">
        <v>0.43</v>
      </c>
      <c r="AE244" s="227" t="n">
        <v>0</v>
      </c>
      <c r="AG244" s="227" t="n">
        <v>0.44</v>
      </c>
      <c r="AH244" s="227" t="n">
        <v>0</v>
      </c>
      <c r="AI244" s="227" t="n">
        <v>0.24</v>
      </c>
      <c r="AJ244" s="227" t="n">
        <v>0</v>
      </c>
    </row>
    <row r="245" customFormat="false" ht="12.75" hidden="false" customHeight="false" outlineLevel="0" collapsed="false">
      <c r="D245" s="226" t="n">
        <v>44440</v>
      </c>
      <c r="E245" s="227" t="n">
        <v>0.0565230050119165</v>
      </c>
      <c r="F245" s="227" t="n">
        <v>5.6855</v>
      </c>
      <c r="G245" s="227" t="n">
        <v>0.17</v>
      </c>
      <c r="H245" s="227" t="n">
        <v>0</v>
      </c>
      <c r="I245" s="227" t="n">
        <v>0</v>
      </c>
      <c r="K245" s="227" t="n">
        <v>-0.07</v>
      </c>
      <c r="L245" s="227" t="n">
        <v>0</v>
      </c>
      <c r="N245" s="227" t="n">
        <v>0</v>
      </c>
      <c r="O245" s="227" t="n">
        <v>0</v>
      </c>
      <c r="Q245" s="227" t="n">
        <v>0</v>
      </c>
      <c r="R245" s="227" t="n">
        <v>0</v>
      </c>
      <c r="S245" s="227" t="n">
        <v>0</v>
      </c>
      <c r="T245" s="227" t="n">
        <v>0</v>
      </c>
      <c r="U245" s="227" t="n">
        <v>0</v>
      </c>
      <c r="V245" s="227" t="n">
        <v>0</v>
      </c>
      <c r="AB245" s="227" t="n">
        <v>0</v>
      </c>
      <c r="AC245" s="227" t="n">
        <v>0</v>
      </c>
      <c r="AD245" s="226" t="n">
        <v>0.43</v>
      </c>
      <c r="AE245" s="227" t="n">
        <v>0</v>
      </c>
      <c r="AG245" s="227" t="n">
        <v>0.44</v>
      </c>
      <c r="AH245" s="227" t="n">
        <v>0</v>
      </c>
      <c r="AI245" s="227" t="n">
        <v>0.24</v>
      </c>
      <c r="AJ245" s="227" t="n">
        <v>0</v>
      </c>
    </row>
    <row r="246" customFormat="false" ht="12.75" hidden="false" customHeight="false" outlineLevel="0" collapsed="false">
      <c r="D246" s="226" t="n">
        <v>44470</v>
      </c>
      <c r="E246" s="227" t="n">
        <v>0.0565772542045551</v>
      </c>
      <c r="F246" s="227" t="n">
        <v>5.6855</v>
      </c>
      <c r="G246" s="227" t="n">
        <v>0.17</v>
      </c>
      <c r="H246" s="227" t="n">
        <v>0</v>
      </c>
      <c r="I246" s="227" t="n">
        <v>0</v>
      </c>
      <c r="K246" s="227" t="n">
        <v>-0.07</v>
      </c>
      <c r="L246" s="227" t="n">
        <v>0</v>
      </c>
      <c r="N246" s="227" t="n">
        <v>0</v>
      </c>
      <c r="O246" s="227" t="n">
        <v>0</v>
      </c>
      <c r="Q246" s="227" t="n">
        <v>0</v>
      </c>
      <c r="R246" s="227" t="n">
        <v>0</v>
      </c>
      <c r="S246" s="227" t="n">
        <v>0</v>
      </c>
      <c r="T246" s="227" t="n">
        <v>0</v>
      </c>
      <c r="U246" s="227" t="n">
        <v>0</v>
      </c>
      <c r="V246" s="227" t="n">
        <v>0</v>
      </c>
      <c r="AB246" s="227" t="n">
        <v>0</v>
      </c>
      <c r="AC246" s="227" t="n">
        <v>0</v>
      </c>
      <c r="AD246" s="226" t="n">
        <v>0.43</v>
      </c>
      <c r="AE246" s="227" t="n">
        <v>0</v>
      </c>
      <c r="AG246" s="227" t="n">
        <v>0.44</v>
      </c>
      <c r="AH246" s="227" t="n">
        <v>0</v>
      </c>
      <c r="AI246" s="227" t="n">
        <v>0.24</v>
      </c>
      <c r="AJ246" s="227" t="n">
        <v>0</v>
      </c>
    </row>
    <row r="247" customFormat="false" ht="12.75" hidden="false" customHeight="false" outlineLevel="0" collapsed="false">
      <c r="D247" s="226" t="n">
        <v>44501</v>
      </c>
      <c r="E247" s="227" t="n">
        <v>0.0566333117046436</v>
      </c>
      <c r="F247" s="227" t="n">
        <v>5.8555</v>
      </c>
      <c r="G247" s="227" t="n">
        <v>0.17</v>
      </c>
      <c r="H247" s="227" t="n">
        <v>0</v>
      </c>
      <c r="I247" s="227" t="n">
        <v>0</v>
      </c>
      <c r="K247" s="227" t="n">
        <v>-0.07</v>
      </c>
      <c r="L247" s="227" t="n">
        <v>0</v>
      </c>
      <c r="N247" s="227" t="n">
        <v>0</v>
      </c>
      <c r="O247" s="227" t="n">
        <v>0</v>
      </c>
      <c r="Q247" s="227" t="n">
        <v>0</v>
      </c>
      <c r="R247" s="227" t="n">
        <v>0</v>
      </c>
      <c r="S247" s="227" t="n">
        <v>0</v>
      </c>
      <c r="T247" s="227" t="n">
        <v>0</v>
      </c>
      <c r="U247" s="227" t="n">
        <v>0</v>
      </c>
      <c r="V247" s="227" t="n">
        <v>0</v>
      </c>
      <c r="AB247" s="227" t="n">
        <v>0</v>
      </c>
      <c r="AC247" s="227" t="n">
        <v>0</v>
      </c>
      <c r="AD247" s="226" t="n">
        <v>0</v>
      </c>
      <c r="AE247" s="227" t="n">
        <v>0</v>
      </c>
      <c r="AG247" s="227" t="n">
        <v>0</v>
      </c>
      <c r="AH247" s="227" t="n">
        <v>0</v>
      </c>
      <c r="AI247" s="227" t="n">
        <v>-0.2</v>
      </c>
      <c r="AJ247" s="227" t="n">
        <v>0</v>
      </c>
    </row>
    <row r="248" customFormat="false" ht="12.75" hidden="false" customHeight="false" outlineLevel="0" collapsed="false">
      <c r="D248" s="226" t="n">
        <v>44531</v>
      </c>
      <c r="E248" s="227" t="n">
        <v>0.0566422578230195</v>
      </c>
      <c r="F248" s="227" t="n">
        <v>5.9865</v>
      </c>
      <c r="G248" s="227" t="n">
        <v>0.17</v>
      </c>
      <c r="H248" s="227" t="n">
        <v>0</v>
      </c>
      <c r="I248" s="227" t="n">
        <v>0</v>
      </c>
      <c r="K248" s="227" t="n">
        <v>-0.07</v>
      </c>
      <c r="L248" s="227" t="n">
        <v>0</v>
      </c>
      <c r="N248" s="227" t="n">
        <v>0</v>
      </c>
      <c r="O248" s="227" t="n">
        <v>0</v>
      </c>
      <c r="Q248" s="227" t="n">
        <v>0</v>
      </c>
      <c r="R248" s="227" t="n">
        <v>0</v>
      </c>
      <c r="S248" s="227" t="n">
        <v>0</v>
      </c>
      <c r="T248" s="227" t="n">
        <v>0</v>
      </c>
      <c r="U248" s="227" t="n">
        <v>0</v>
      </c>
      <c r="V248" s="227" t="n">
        <v>0</v>
      </c>
      <c r="AB248" s="227" t="n">
        <v>0</v>
      </c>
      <c r="AC248" s="227" t="n">
        <v>0</v>
      </c>
      <c r="AD248" s="226" t="n">
        <v>0</v>
      </c>
      <c r="AE248" s="227" t="n">
        <v>0</v>
      </c>
      <c r="AG248" s="227" t="n">
        <v>0</v>
      </c>
      <c r="AH248" s="227" t="n">
        <v>0</v>
      </c>
      <c r="AI248" s="227" t="n">
        <v>-0.2</v>
      </c>
      <c r="AJ248" s="227" t="n">
        <v>0</v>
      </c>
    </row>
    <row r="249" customFormat="false" ht="12.75" hidden="false" customHeight="false" outlineLevel="0" collapsed="false">
      <c r="D249" s="226" t="n">
        <v>44562</v>
      </c>
      <c r="E249" s="227" t="n">
        <v>0.056644300117902</v>
      </c>
      <c r="F249" s="227" t="n">
        <v>6.059</v>
      </c>
      <c r="G249" s="227" t="n">
        <v>0.17</v>
      </c>
      <c r="H249" s="227" t="n">
        <v>0</v>
      </c>
      <c r="I249" s="227" t="n">
        <v>0</v>
      </c>
      <c r="K249" s="227" t="n">
        <v>-0.07</v>
      </c>
      <c r="L249" s="227" t="n">
        <v>0</v>
      </c>
      <c r="N249" s="227" t="n">
        <v>0</v>
      </c>
      <c r="O249" s="227" t="n">
        <v>0</v>
      </c>
      <c r="Q249" s="227" t="n">
        <v>0</v>
      </c>
      <c r="R249" s="227" t="n">
        <v>0</v>
      </c>
      <c r="S249" s="227" t="n">
        <v>0</v>
      </c>
      <c r="T249" s="227" t="n">
        <v>0</v>
      </c>
      <c r="U249" s="227" t="n">
        <v>0</v>
      </c>
      <c r="V249" s="227" t="n">
        <v>0</v>
      </c>
      <c r="AB249" s="227" t="n">
        <v>0</v>
      </c>
      <c r="AC249" s="227" t="n">
        <v>0</v>
      </c>
      <c r="AD249" s="226" t="n">
        <v>0</v>
      </c>
      <c r="AE249" s="227" t="n">
        <v>0</v>
      </c>
      <c r="AG249" s="227" t="n">
        <v>0</v>
      </c>
      <c r="AH249" s="227" t="n">
        <v>0</v>
      </c>
      <c r="AI249" s="227" t="n">
        <v>-0.2</v>
      </c>
      <c r="AJ249" s="227" t="n">
        <v>0</v>
      </c>
    </row>
    <row r="250" customFormat="false" ht="12.75" hidden="false" customHeight="false" outlineLevel="0" collapsed="false">
      <c r="D250" s="226" t="n">
        <v>44593</v>
      </c>
      <c r="E250" s="227" t="n">
        <v>0.0566463424127863</v>
      </c>
      <c r="F250" s="227" t="n">
        <v>5.971</v>
      </c>
      <c r="G250" s="227" t="n">
        <v>0.17</v>
      </c>
      <c r="H250" s="227" t="n">
        <v>0</v>
      </c>
      <c r="I250" s="227" t="n">
        <v>0</v>
      </c>
      <c r="K250" s="227" t="n">
        <v>-0.07</v>
      </c>
      <c r="L250" s="227" t="n">
        <v>0</v>
      </c>
      <c r="N250" s="227" t="n">
        <v>0</v>
      </c>
      <c r="O250" s="227" t="n">
        <v>0</v>
      </c>
      <c r="Q250" s="227" t="n">
        <v>0</v>
      </c>
      <c r="R250" s="227" t="n">
        <v>0</v>
      </c>
      <c r="S250" s="227" t="n">
        <v>0</v>
      </c>
      <c r="T250" s="227" t="n">
        <v>0</v>
      </c>
      <c r="U250" s="227" t="n">
        <v>0</v>
      </c>
      <c r="V250" s="227" t="n">
        <v>0</v>
      </c>
      <c r="AB250" s="227" t="n">
        <v>0</v>
      </c>
      <c r="AC250" s="227" t="n">
        <v>0</v>
      </c>
      <c r="AD250" s="226" t="n">
        <v>0</v>
      </c>
      <c r="AE250" s="227" t="n">
        <v>0</v>
      </c>
      <c r="AG250" s="227" t="n">
        <v>0</v>
      </c>
      <c r="AH250" s="227" t="n">
        <v>0</v>
      </c>
      <c r="AI250" s="227" t="n">
        <v>-0.2</v>
      </c>
      <c r="AJ250" s="227" t="n">
        <v>0</v>
      </c>
    </row>
    <row r="251" customFormat="false" ht="12.75" hidden="false" customHeight="false" outlineLevel="0" collapsed="false">
      <c r="D251" s="226" t="n">
        <v>44621</v>
      </c>
      <c r="E251" s="227" t="n">
        <v>0.0566481870662319</v>
      </c>
      <c r="F251" s="227" t="n">
        <v>5.832</v>
      </c>
      <c r="G251" s="227" t="n">
        <v>0.17</v>
      </c>
      <c r="H251" s="227" t="n">
        <v>0</v>
      </c>
      <c r="I251" s="227" t="n">
        <v>0</v>
      </c>
      <c r="K251" s="227" t="n">
        <v>-0.07</v>
      </c>
      <c r="L251" s="227" t="n">
        <v>0</v>
      </c>
      <c r="N251" s="227" t="n">
        <v>0</v>
      </c>
      <c r="O251" s="227" t="n">
        <v>0</v>
      </c>
      <c r="Q251" s="227" t="n">
        <v>0</v>
      </c>
      <c r="R251" s="227" t="n">
        <v>0</v>
      </c>
      <c r="S251" s="227" t="n">
        <v>0</v>
      </c>
      <c r="T251" s="227" t="n">
        <v>0</v>
      </c>
      <c r="U251" s="227" t="n">
        <v>0</v>
      </c>
      <c r="V251" s="227" t="n">
        <v>0</v>
      </c>
      <c r="AB251" s="227" t="n">
        <v>0</v>
      </c>
      <c r="AC251" s="227" t="n">
        <v>0</v>
      </c>
      <c r="AD251" s="226" t="n">
        <v>0</v>
      </c>
      <c r="AE251" s="227" t="n">
        <v>0</v>
      </c>
      <c r="AG251" s="227" t="n">
        <v>0</v>
      </c>
      <c r="AH251" s="227" t="n">
        <v>0</v>
      </c>
      <c r="AI251" s="227" t="n">
        <v>-0.2</v>
      </c>
      <c r="AJ251" s="227" t="n">
        <v>0</v>
      </c>
    </row>
    <row r="252" customFormat="false" ht="12.75" hidden="false" customHeight="false" outlineLevel="0" collapsed="false">
      <c r="D252" s="226" t="n">
        <v>44652</v>
      </c>
      <c r="E252" s="227" t="n">
        <v>0.0566502293611193</v>
      </c>
      <c r="F252" s="227" t="n">
        <v>5.678</v>
      </c>
      <c r="G252" s="227" t="n">
        <v>0.17</v>
      </c>
      <c r="H252" s="227" t="n">
        <v>0</v>
      </c>
      <c r="I252" s="227" t="n">
        <v>0</v>
      </c>
      <c r="K252" s="227" t="n">
        <v>-0.07</v>
      </c>
      <c r="L252" s="227" t="n">
        <v>0</v>
      </c>
      <c r="N252" s="227" t="n">
        <v>0</v>
      </c>
      <c r="O252" s="227" t="n">
        <v>0</v>
      </c>
      <c r="Q252" s="227" t="n">
        <v>0</v>
      </c>
      <c r="R252" s="227" t="n">
        <v>0</v>
      </c>
      <c r="S252" s="227" t="n">
        <v>0</v>
      </c>
      <c r="T252" s="227" t="n">
        <v>0</v>
      </c>
      <c r="U252" s="227" t="n">
        <v>0</v>
      </c>
      <c r="V252" s="227" t="n">
        <v>0</v>
      </c>
      <c r="AB252" s="227" t="n">
        <v>0</v>
      </c>
      <c r="AC252" s="227" t="n">
        <v>0</v>
      </c>
      <c r="AD252" s="226" t="n">
        <v>0</v>
      </c>
      <c r="AE252" s="227" t="n">
        <v>0</v>
      </c>
      <c r="AG252" s="227" t="n">
        <v>0</v>
      </c>
      <c r="AH252" s="227" t="n">
        <v>0</v>
      </c>
      <c r="AI252" s="227" t="n">
        <v>-0.2</v>
      </c>
      <c r="AJ252" s="227" t="n">
        <v>0</v>
      </c>
    </row>
    <row r="253" customFormat="false" ht="12.75" hidden="false" customHeight="false" outlineLevel="0" collapsed="false">
      <c r="D253" s="226" t="n">
        <v>44682</v>
      </c>
      <c r="E253" s="227" t="n">
        <v>0.0566522057755274</v>
      </c>
      <c r="F253" s="227" t="n">
        <v>5.683</v>
      </c>
      <c r="G253" s="227" t="n">
        <v>0.17</v>
      </c>
      <c r="H253" s="227" t="n">
        <v>0</v>
      </c>
      <c r="I253" s="227" t="n">
        <v>0</v>
      </c>
      <c r="K253" s="227" t="n">
        <v>-0.07</v>
      </c>
      <c r="L253" s="227" t="n">
        <v>0</v>
      </c>
      <c r="N253" s="227" t="n">
        <v>0</v>
      </c>
      <c r="O253" s="227" t="n">
        <v>0</v>
      </c>
      <c r="Q253" s="227" t="n">
        <v>0</v>
      </c>
      <c r="R253" s="227" t="n">
        <v>0</v>
      </c>
      <c r="S253" s="227" t="n">
        <v>0</v>
      </c>
      <c r="T253" s="227" t="n">
        <v>0</v>
      </c>
      <c r="U253" s="227" t="n">
        <v>0</v>
      </c>
      <c r="V253" s="227" t="n">
        <v>0</v>
      </c>
      <c r="AB253" s="227" t="n">
        <v>0</v>
      </c>
      <c r="AC253" s="227" t="n">
        <v>0</v>
      </c>
      <c r="AD253" s="226" t="n">
        <v>0</v>
      </c>
      <c r="AE253" s="227" t="n">
        <v>0</v>
      </c>
      <c r="AG253" s="227" t="n">
        <v>0</v>
      </c>
      <c r="AH253" s="227" t="n">
        <v>0</v>
      </c>
      <c r="AI253" s="227" t="n">
        <v>-0.2</v>
      </c>
      <c r="AJ253" s="227" t="n">
        <v>0</v>
      </c>
    </row>
    <row r="254" customFormat="false" ht="12.75" hidden="false" customHeight="false" outlineLevel="0" collapsed="false">
      <c r="D254" s="226" t="n">
        <v>44713</v>
      </c>
      <c r="E254" s="227" t="n">
        <v>0.0566542480704171</v>
      </c>
      <c r="F254" s="227" t="n">
        <v>5.721</v>
      </c>
      <c r="G254" s="227" t="n">
        <v>0.17</v>
      </c>
      <c r="H254" s="227" t="n">
        <v>0</v>
      </c>
      <c r="I254" s="227" t="n">
        <v>0</v>
      </c>
      <c r="K254" s="227" t="n">
        <v>-0.07</v>
      </c>
      <c r="L254" s="227" t="n">
        <v>0</v>
      </c>
      <c r="N254" s="227" t="n">
        <v>0</v>
      </c>
      <c r="O254" s="227" t="n">
        <v>0</v>
      </c>
      <c r="Q254" s="227" t="n">
        <v>0</v>
      </c>
      <c r="R254" s="227" t="n">
        <v>0</v>
      </c>
      <c r="S254" s="227" t="n">
        <v>0</v>
      </c>
      <c r="T254" s="227" t="n">
        <v>0</v>
      </c>
      <c r="U254" s="227" t="n">
        <v>0</v>
      </c>
      <c r="V254" s="227" t="n">
        <v>0</v>
      </c>
      <c r="AB254" s="227" t="n">
        <v>0</v>
      </c>
      <c r="AC254" s="227" t="n">
        <v>0</v>
      </c>
      <c r="AD254" s="226" t="n">
        <v>0</v>
      </c>
      <c r="AE254" s="227" t="n">
        <v>0</v>
      </c>
      <c r="AG254" s="227" t="n">
        <v>0</v>
      </c>
      <c r="AH254" s="227" t="n">
        <v>0</v>
      </c>
      <c r="AI254" s="227" t="n">
        <v>-0.2</v>
      </c>
      <c r="AJ254" s="227" t="n">
        <v>0</v>
      </c>
    </row>
    <row r="255" customFormat="false" ht="12.75" hidden="false" customHeight="false" outlineLevel="0" collapsed="false">
      <c r="D255" s="226" t="n">
        <v>44743</v>
      </c>
      <c r="E255" s="227" t="n">
        <v>0.0566562244848279</v>
      </c>
      <c r="F255" s="227" t="n">
        <v>5.766</v>
      </c>
      <c r="G255" s="227" t="n">
        <v>0.17</v>
      </c>
      <c r="H255" s="227" t="n">
        <v>0</v>
      </c>
      <c r="I255" s="227" t="n">
        <v>0</v>
      </c>
      <c r="K255" s="227" t="n">
        <v>-0.07</v>
      </c>
      <c r="L255" s="227" t="n">
        <v>0</v>
      </c>
      <c r="N255" s="227" t="n">
        <v>0</v>
      </c>
      <c r="O255" s="227" t="n">
        <v>0</v>
      </c>
      <c r="Q255" s="227" t="n">
        <v>0</v>
      </c>
      <c r="R255" s="227" t="n">
        <v>0</v>
      </c>
      <c r="S255" s="227" t="n">
        <v>0</v>
      </c>
      <c r="T255" s="227" t="n">
        <v>0</v>
      </c>
      <c r="U255" s="227" t="n">
        <v>0</v>
      </c>
      <c r="V255" s="227" t="n">
        <v>0</v>
      </c>
      <c r="AB255" s="227" t="n">
        <v>0</v>
      </c>
      <c r="AC255" s="227" t="n">
        <v>0</v>
      </c>
      <c r="AD255" s="226" t="n">
        <v>0</v>
      </c>
      <c r="AE255" s="227" t="n">
        <v>0</v>
      </c>
      <c r="AG255" s="227" t="n">
        <v>0</v>
      </c>
      <c r="AH255" s="227" t="n">
        <v>0</v>
      </c>
      <c r="AI255" s="227" t="n">
        <v>-0.2</v>
      </c>
      <c r="AJ255" s="227" t="n">
        <v>0</v>
      </c>
    </row>
    <row r="256" customFormat="false" ht="12.75" hidden="false" customHeight="false" outlineLevel="0" collapsed="false">
      <c r="D256" s="226" t="n">
        <v>44774</v>
      </c>
      <c r="E256" s="227" t="n">
        <v>0.0566582667797206</v>
      </c>
      <c r="F256" s="227" t="n">
        <v>5.804</v>
      </c>
      <c r="G256" s="227" t="n">
        <v>0.17</v>
      </c>
      <c r="H256" s="227" t="n">
        <v>0</v>
      </c>
      <c r="I256" s="227" t="n">
        <v>0</v>
      </c>
      <c r="K256" s="227" t="n">
        <v>-0.07</v>
      </c>
      <c r="L256" s="227" t="n">
        <v>0</v>
      </c>
      <c r="N256" s="227" t="n">
        <v>0</v>
      </c>
      <c r="O256" s="227" t="n">
        <v>0</v>
      </c>
      <c r="Q256" s="227" t="n">
        <v>0</v>
      </c>
      <c r="R256" s="227" t="n">
        <v>0</v>
      </c>
      <c r="S256" s="227" t="n">
        <v>0</v>
      </c>
      <c r="T256" s="227" t="n">
        <v>0</v>
      </c>
      <c r="U256" s="227" t="n">
        <v>0</v>
      </c>
      <c r="V256" s="227" t="n">
        <v>0</v>
      </c>
      <c r="AB256" s="227" t="n">
        <v>0</v>
      </c>
      <c r="AC256" s="227" t="n">
        <v>0</v>
      </c>
      <c r="AD256" s="226" t="n">
        <v>0</v>
      </c>
      <c r="AE256" s="227" t="n">
        <v>0</v>
      </c>
      <c r="AG256" s="227" t="n">
        <v>0</v>
      </c>
      <c r="AH256" s="227" t="n">
        <v>0</v>
      </c>
      <c r="AI256" s="227" t="n">
        <v>-0.2</v>
      </c>
      <c r="AJ256" s="227" t="n">
        <v>0</v>
      </c>
    </row>
    <row r="257" customFormat="false" ht="12.75" hidden="false" customHeight="false" outlineLevel="0" collapsed="false">
      <c r="D257" s="226" t="n">
        <v>44805</v>
      </c>
      <c r="E257" s="227" t="n">
        <v>0.0566603090746143</v>
      </c>
      <c r="F257" s="227" t="n">
        <v>5.798</v>
      </c>
      <c r="G257" s="227" t="n">
        <v>0.17</v>
      </c>
      <c r="H257" s="227" t="n">
        <v>0</v>
      </c>
      <c r="I257" s="227" t="n">
        <v>0</v>
      </c>
      <c r="K257" s="227" t="n">
        <v>-0.07</v>
      </c>
      <c r="L257" s="227" t="n">
        <v>0</v>
      </c>
      <c r="N257" s="227" t="n">
        <v>0</v>
      </c>
      <c r="O257" s="227" t="n">
        <v>0</v>
      </c>
      <c r="Q257" s="227" t="n">
        <v>0</v>
      </c>
      <c r="R257" s="227" t="n">
        <v>0</v>
      </c>
      <c r="S257" s="227" t="n">
        <v>0</v>
      </c>
      <c r="T257" s="227" t="n">
        <v>0</v>
      </c>
      <c r="U257" s="227" t="n">
        <v>0</v>
      </c>
      <c r="V257" s="227" t="n">
        <v>0</v>
      </c>
      <c r="AB257" s="227" t="n">
        <v>0</v>
      </c>
      <c r="AC257" s="227" t="n">
        <v>0</v>
      </c>
      <c r="AD257" s="226" t="n">
        <v>0</v>
      </c>
      <c r="AE257" s="227" t="n">
        <v>0</v>
      </c>
      <c r="AG257" s="227" t="n">
        <v>0</v>
      </c>
      <c r="AH257" s="227" t="n">
        <v>0</v>
      </c>
      <c r="AI257" s="227" t="n">
        <v>-0.2</v>
      </c>
      <c r="AJ257" s="227" t="n">
        <v>0</v>
      </c>
    </row>
    <row r="258" customFormat="false" ht="12.75" hidden="false" customHeight="false" outlineLevel="0" collapsed="false">
      <c r="D258" s="226" t="n">
        <v>44835</v>
      </c>
      <c r="E258" s="227" t="n">
        <v>0.0566622854890295</v>
      </c>
      <c r="F258" s="227" t="n">
        <v>5.798</v>
      </c>
      <c r="G258" s="227" t="n">
        <v>0.17</v>
      </c>
      <c r="H258" s="227" t="n">
        <v>0</v>
      </c>
      <c r="I258" s="227" t="n">
        <v>0</v>
      </c>
      <c r="K258" s="227" t="n">
        <v>-0.07</v>
      </c>
      <c r="L258" s="227" t="n">
        <v>0</v>
      </c>
      <c r="N258" s="227" t="n">
        <v>0</v>
      </c>
      <c r="O258" s="227" t="n">
        <v>0</v>
      </c>
      <c r="Q258" s="227" t="n">
        <v>0</v>
      </c>
      <c r="R258" s="227" t="n">
        <v>0</v>
      </c>
      <c r="S258" s="227" t="n">
        <v>0</v>
      </c>
      <c r="T258" s="227" t="n">
        <v>0</v>
      </c>
      <c r="U258" s="227" t="n">
        <v>0</v>
      </c>
      <c r="V258" s="227" t="n">
        <v>0</v>
      </c>
      <c r="AB258" s="227" t="n">
        <v>0</v>
      </c>
      <c r="AC258" s="227" t="n">
        <v>0</v>
      </c>
      <c r="AD258" s="226" t="n">
        <v>0</v>
      </c>
      <c r="AE258" s="227" t="n">
        <v>0</v>
      </c>
      <c r="AG258" s="227" t="n">
        <v>0</v>
      </c>
      <c r="AH258" s="227" t="n">
        <v>0</v>
      </c>
      <c r="AI258" s="227" t="n">
        <v>-0.2</v>
      </c>
      <c r="AJ258" s="227" t="n">
        <v>0</v>
      </c>
    </row>
    <row r="259" customFormat="false" ht="12.75" hidden="false" customHeight="false" outlineLevel="0" collapsed="false">
      <c r="D259" s="226" t="n">
        <v>44866</v>
      </c>
      <c r="E259" s="227" t="n">
        <v>0.0566643277839258</v>
      </c>
      <c r="F259" s="227" t="n">
        <v>5.968</v>
      </c>
      <c r="G259" s="227" t="n">
        <v>0.17</v>
      </c>
      <c r="H259" s="227" t="n">
        <v>0</v>
      </c>
      <c r="I259" s="227" t="n">
        <v>0</v>
      </c>
      <c r="K259" s="227" t="n">
        <v>-0.07</v>
      </c>
      <c r="L259" s="227" t="n">
        <v>0</v>
      </c>
      <c r="N259" s="227" t="n">
        <v>0</v>
      </c>
      <c r="O259" s="227" t="n">
        <v>0</v>
      </c>
      <c r="Q259" s="227" t="n">
        <v>0</v>
      </c>
      <c r="R259" s="227" t="n">
        <v>0</v>
      </c>
      <c r="S259" s="227" t="n">
        <v>0</v>
      </c>
      <c r="T259" s="227" t="n">
        <v>0</v>
      </c>
      <c r="U259" s="227" t="n">
        <v>0</v>
      </c>
      <c r="V259" s="227" t="n">
        <v>0</v>
      </c>
      <c r="AB259" s="227" t="n">
        <v>0</v>
      </c>
      <c r="AC259" s="227" t="n">
        <v>0</v>
      </c>
      <c r="AD259" s="226" t="n">
        <v>0</v>
      </c>
      <c r="AE259" s="227" t="n">
        <v>0</v>
      </c>
      <c r="AG259" s="227" t="n">
        <v>0</v>
      </c>
      <c r="AH259" s="227" t="n">
        <v>0</v>
      </c>
      <c r="AI259" s="227" t="n">
        <v>-0.2</v>
      </c>
      <c r="AJ259" s="227" t="n">
        <v>0</v>
      </c>
    </row>
    <row r="260" customFormat="false" ht="12.75" hidden="false" customHeight="false" outlineLevel="0" collapsed="false">
      <c r="D260" s="226" t="n">
        <v>44896</v>
      </c>
      <c r="E260" s="227" t="n">
        <v>0.0566663041983433</v>
      </c>
      <c r="F260" s="227" t="n">
        <v>6.099</v>
      </c>
      <c r="G260" s="227" t="n">
        <v>0.17</v>
      </c>
      <c r="H260" s="227" t="n">
        <v>0</v>
      </c>
      <c r="I260" s="227" t="n">
        <v>0</v>
      </c>
      <c r="K260" s="227" t="n">
        <v>-0.07</v>
      </c>
      <c r="L260" s="227" t="n">
        <v>0</v>
      </c>
      <c r="N260" s="227" t="n">
        <v>0</v>
      </c>
      <c r="O260" s="227" t="n">
        <v>0</v>
      </c>
      <c r="Q260" s="227" t="n">
        <v>0</v>
      </c>
      <c r="R260" s="227" t="n">
        <v>0</v>
      </c>
      <c r="S260" s="227" t="n">
        <v>0</v>
      </c>
      <c r="T260" s="227" t="n">
        <v>0</v>
      </c>
      <c r="U260" s="227" t="n">
        <v>0</v>
      </c>
      <c r="V260" s="227" t="n">
        <v>0</v>
      </c>
      <c r="AB260" s="227" t="n">
        <v>0</v>
      </c>
      <c r="AC260" s="227" t="n">
        <v>0</v>
      </c>
      <c r="AD260" s="226" t="n">
        <v>0</v>
      </c>
      <c r="AE260" s="227" t="n">
        <v>0</v>
      </c>
      <c r="AG260" s="227" t="n">
        <v>0</v>
      </c>
      <c r="AH260" s="227" t="n">
        <v>0</v>
      </c>
      <c r="AI260" s="227" t="n">
        <v>-0.2</v>
      </c>
      <c r="AJ260" s="227" t="n">
        <v>0</v>
      </c>
    </row>
    <row r="261" customFormat="false" ht="12.75" hidden="false" customHeight="false" outlineLevel="0" collapsed="false">
      <c r="D261" s="226" t="n">
        <v>44927</v>
      </c>
      <c r="E261" s="227" t="n">
        <v>0.0566683464932432</v>
      </c>
      <c r="F261" s="227" t="n">
        <v>6.1715</v>
      </c>
      <c r="G261" s="227" t="n">
        <v>0.17</v>
      </c>
      <c r="H261" s="227" t="n">
        <v>0</v>
      </c>
      <c r="I261" s="227" t="n">
        <v>0</v>
      </c>
      <c r="K261" s="227" t="n">
        <v>-0.07</v>
      </c>
      <c r="L261" s="227" t="n">
        <v>0</v>
      </c>
      <c r="N261" s="227" t="n">
        <v>0</v>
      </c>
      <c r="O261" s="227" t="n">
        <v>0</v>
      </c>
      <c r="Q261" s="227" t="n">
        <v>0</v>
      </c>
      <c r="R261" s="227" t="n">
        <v>0</v>
      </c>
      <c r="S261" s="227" t="n">
        <v>0</v>
      </c>
      <c r="T261" s="227" t="n">
        <v>0</v>
      </c>
      <c r="U261" s="227" t="n">
        <v>0</v>
      </c>
      <c r="V261" s="227" t="n">
        <v>0</v>
      </c>
      <c r="AB261" s="227" t="n">
        <v>0</v>
      </c>
      <c r="AC261" s="227" t="n">
        <v>0</v>
      </c>
      <c r="AD261" s="226" t="n">
        <v>0</v>
      </c>
      <c r="AE261" s="227" t="n">
        <v>0</v>
      </c>
      <c r="AG261" s="227" t="n">
        <v>0</v>
      </c>
      <c r="AH261" s="227" t="n">
        <v>0</v>
      </c>
      <c r="AI261" s="227" t="n">
        <v>-0.2</v>
      </c>
      <c r="AJ261" s="227" t="n">
        <v>0</v>
      </c>
    </row>
    <row r="262" customFormat="false" ht="12.75" hidden="false" customHeight="false" outlineLevel="0" collapsed="false">
      <c r="D262" s="226" t="n">
        <v>44958</v>
      </c>
      <c r="E262" s="227" t="n">
        <v>0.0566703887881435</v>
      </c>
      <c r="F262" s="227" t="n">
        <v>6.0835</v>
      </c>
      <c r="G262" s="227" t="n">
        <v>0.17</v>
      </c>
      <c r="H262" s="227" t="n">
        <v>0</v>
      </c>
      <c r="I262" s="227" t="n">
        <v>0</v>
      </c>
      <c r="K262" s="227" t="n">
        <v>-0.07</v>
      </c>
      <c r="L262" s="227" t="n">
        <v>0</v>
      </c>
      <c r="N262" s="227" t="n">
        <v>0</v>
      </c>
      <c r="O262" s="227" t="n">
        <v>0</v>
      </c>
      <c r="Q262" s="227" t="n">
        <v>0</v>
      </c>
      <c r="R262" s="227" t="n">
        <v>0</v>
      </c>
      <c r="S262" s="227" t="n">
        <v>0</v>
      </c>
      <c r="T262" s="227" t="n">
        <v>0</v>
      </c>
      <c r="U262" s="227" t="n">
        <v>0</v>
      </c>
      <c r="V262" s="227" t="n">
        <v>0</v>
      </c>
      <c r="AB262" s="227" t="n">
        <v>0</v>
      </c>
      <c r="AC262" s="227" t="n">
        <v>0</v>
      </c>
      <c r="AD262" s="226" t="n">
        <v>0</v>
      </c>
      <c r="AE262" s="227" t="n">
        <v>0</v>
      </c>
      <c r="AG262" s="227" t="n">
        <v>0</v>
      </c>
      <c r="AH262" s="227" t="n">
        <v>0</v>
      </c>
      <c r="AI262" s="227" t="n">
        <v>-0.2</v>
      </c>
      <c r="AJ262" s="227" t="n">
        <v>0</v>
      </c>
    </row>
    <row r="263" customFormat="false" ht="12.75" hidden="false" customHeight="false" outlineLevel="0" collapsed="false">
      <c r="D263" s="226" t="n">
        <v>44986</v>
      </c>
      <c r="E263" s="227" t="n">
        <v>0.0566722334416037</v>
      </c>
      <c r="F263" s="227" t="n">
        <v>5.9445</v>
      </c>
      <c r="G263" s="227" t="n">
        <v>0.17</v>
      </c>
      <c r="H263" s="227" t="n">
        <v>0</v>
      </c>
      <c r="I263" s="227" t="n">
        <v>0</v>
      </c>
      <c r="K263" s="227" t="n">
        <v>-0.07</v>
      </c>
      <c r="L263" s="227" t="n">
        <v>0</v>
      </c>
      <c r="N263" s="227" t="n">
        <v>0</v>
      </c>
      <c r="O263" s="227" t="n">
        <v>0</v>
      </c>
      <c r="Q263" s="227" t="n">
        <v>0</v>
      </c>
      <c r="R263" s="227" t="n">
        <v>0</v>
      </c>
      <c r="S263" s="227" t="n">
        <v>0</v>
      </c>
      <c r="T263" s="227" t="n">
        <v>0</v>
      </c>
      <c r="U263" s="227" t="n">
        <v>0</v>
      </c>
      <c r="V263" s="227" t="n">
        <v>0</v>
      </c>
      <c r="AB263" s="227" t="n">
        <v>0</v>
      </c>
      <c r="AC263" s="227" t="n">
        <v>0</v>
      </c>
      <c r="AD263" s="226" t="n">
        <v>0</v>
      </c>
      <c r="AE263" s="227" t="n">
        <v>0</v>
      </c>
      <c r="AG263" s="227" t="n">
        <v>0</v>
      </c>
      <c r="AH263" s="227" t="n">
        <v>0</v>
      </c>
      <c r="AI263" s="227" t="n">
        <v>-0.2</v>
      </c>
      <c r="AJ263" s="227" t="n">
        <v>0</v>
      </c>
    </row>
    <row r="264" customFormat="false" ht="12.75" hidden="false" customHeight="false" outlineLevel="0" collapsed="false">
      <c r="D264" s="226" t="n">
        <v>45017</v>
      </c>
      <c r="E264" s="227" t="n">
        <v>0.0566742757365071</v>
      </c>
      <c r="F264" s="227" t="n">
        <v>5.7905</v>
      </c>
      <c r="G264" s="227" t="n">
        <v>0.17</v>
      </c>
      <c r="H264" s="227" t="n">
        <v>0</v>
      </c>
      <c r="I264" s="227" t="n">
        <v>0</v>
      </c>
      <c r="K264" s="227" t="n">
        <v>-0.07</v>
      </c>
      <c r="L264" s="227" t="n">
        <v>0</v>
      </c>
      <c r="N264" s="227" t="n">
        <v>0</v>
      </c>
      <c r="O264" s="227" t="n">
        <v>0</v>
      </c>
      <c r="Q264" s="227" t="n">
        <v>0</v>
      </c>
      <c r="R264" s="227" t="n">
        <v>0</v>
      </c>
      <c r="S264" s="227" t="n">
        <v>0</v>
      </c>
      <c r="T264" s="227" t="n">
        <v>0</v>
      </c>
      <c r="U264" s="227" t="n">
        <v>0</v>
      </c>
      <c r="V264" s="227" t="n">
        <v>0</v>
      </c>
      <c r="AB264" s="227" t="n">
        <v>0</v>
      </c>
      <c r="AC264" s="227" t="n">
        <v>0</v>
      </c>
      <c r="AD264" s="226" t="n">
        <v>0</v>
      </c>
      <c r="AE264" s="227" t="n">
        <v>0</v>
      </c>
      <c r="AG264" s="227" t="n">
        <v>0</v>
      </c>
      <c r="AH264" s="227" t="n">
        <v>0</v>
      </c>
      <c r="AI264" s="227" t="n">
        <v>-0.2</v>
      </c>
      <c r="AJ264" s="227" t="n">
        <v>0</v>
      </c>
    </row>
    <row r="265" customFormat="false" ht="12.75" hidden="false" customHeight="false" outlineLevel="0" collapsed="false">
      <c r="D265" s="226" t="n">
        <v>45047</v>
      </c>
      <c r="E265" s="227" t="n">
        <v>0.0566762521509312</v>
      </c>
      <c r="F265" s="227" t="n">
        <v>5.7955</v>
      </c>
      <c r="G265" s="227" t="n">
        <v>0.17</v>
      </c>
      <c r="H265" s="227" t="n">
        <v>0</v>
      </c>
      <c r="I265" s="227" t="n">
        <v>0</v>
      </c>
      <c r="K265" s="227" t="n">
        <v>-0.07</v>
      </c>
      <c r="L265" s="227" t="n">
        <v>0</v>
      </c>
      <c r="N265" s="227" t="n">
        <v>0</v>
      </c>
      <c r="O265" s="227" t="n">
        <v>0</v>
      </c>
      <c r="Q265" s="227" t="n">
        <v>0</v>
      </c>
      <c r="R265" s="227" t="n">
        <v>0</v>
      </c>
      <c r="S265" s="227" t="n">
        <v>0</v>
      </c>
      <c r="T265" s="227" t="n">
        <v>0</v>
      </c>
      <c r="U265" s="227" t="n">
        <v>0</v>
      </c>
      <c r="V265" s="227" t="n">
        <v>0</v>
      </c>
      <c r="AB265" s="227" t="n">
        <v>0</v>
      </c>
      <c r="AC265" s="227" t="n">
        <v>0</v>
      </c>
      <c r="AD265" s="226" t="n">
        <v>0</v>
      </c>
      <c r="AE265" s="227" t="n">
        <v>0</v>
      </c>
      <c r="AG265" s="227" t="n">
        <v>0</v>
      </c>
      <c r="AH265" s="227" t="n">
        <v>0</v>
      </c>
      <c r="AI265" s="227" t="n">
        <v>-0.2</v>
      </c>
      <c r="AJ265" s="227" t="n">
        <v>0</v>
      </c>
    </row>
    <row r="266" customFormat="false" ht="12.75" hidden="false" customHeight="false" outlineLevel="0" collapsed="false">
      <c r="D266" s="226" t="n">
        <v>45078</v>
      </c>
      <c r="E266" s="227" t="n">
        <v>0.0566782944458373</v>
      </c>
      <c r="F266" s="227" t="n">
        <v>5.8335</v>
      </c>
      <c r="G266" s="227" t="n">
        <v>0.17</v>
      </c>
      <c r="H266" s="227" t="n">
        <v>0</v>
      </c>
      <c r="I266" s="227" t="n">
        <v>0</v>
      </c>
      <c r="K266" s="227" t="n">
        <v>-0.07</v>
      </c>
      <c r="L266" s="227" t="n">
        <v>0</v>
      </c>
      <c r="N266" s="227" t="n">
        <v>0</v>
      </c>
      <c r="O266" s="227" t="n">
        <v>0</v>
      </c>
      <c r="Q266" s="227" t="n">
        <v>0</v>
      </c>
      <c r="R266" s="227" t="n">
        <v>0</v>
      </c>
      <c r="S266" s="227" t="n">
        <v>0</v>
      </c>
      <c r="T266" s="227" t="n">
        <v>0</v>
      </c>
      <c r="U266" s="227" t="n">
        <v>0</v>
      </c>
      <c r="V266" s="227" t="n">
        <v>0</v>
      </c>
      <c r="AB266" s="227" t="n">
        <v>0</v>
      </c>
      <c r="AC266" s="227" t="n">
        <v>0</v>
      </c>
      <c r="AD266" s="226" t="n">
        <v>0</v>
      </c>
      <c r="AE266" s="227" t="n">
        <v>0</v>
      </c>
      <c r="AG266" s="227" t="n">
        <v>0</v>
      </c>
      <c r="AH266" s="227" t="n">
        <v>0</v>
      </c>
      <c r="AI266" s="227" t="n">
        <v>-0.2</v>
      </c>
      <c r="AJ266" s="227" t="n">
        <v>0</v>
      </c>
    </row>
    <row r="267" customFormat="false" ht="12.75" hidden="false" customHeight="false" outlineLevel="0" collapsed="false">
      <c r="D267" s="226" t="n">
        <v>45108</v>
      </c>
      <c r="E267" s="227" t="n">
        <v>0.0566802708602641</v>
      </c>
      <c r="F267" s="227" t="n">
        <v>5.8785</v>
      </c>
      <c r="G267" s="227" t="n">
        <v>0.17</v>
      </c>
      <c r="H267" s="227" t="n">
        <v>0</v>
      </c>
      <c r="I267" s="227" t="n">
        <v>0</v>
      </c>
      <c r="K267" s="227" t="n">
        <v>-0.07</v>
      </c>
      <c r="L267" s="227" t="n">
        <v>0</v>
      </c>
      <c r="N267" s="227" t="n">
        <v>0</v>
      </c>
      <c r="O267" s="227" t="n">
        <v>0</v>
      </c>
      <c r="Q267" s="227" t="n">
        <v>0</v>
      </c>
      <c r="R267" s="227" t="n">
        <v>0</v>
      </c>
      <c r="S267" s="227" t="n">
        <v>0</v>
      </c>
      <c r="T267" s="227" t="n">
        <v>0</v>
      </c>
      <c r="U267" s="227" t="n">
        <v>0</v>
      </c>
      <c r="V267" s="227" t="n">
        <v>0</v>
      </c>
      <c r="AB267" s="227" t="n">
        <v>0</v>
      </c>
      <c r="AC267" s="227" t="n">
        <v>0</v>
      </c>
      <c r="AD267" s="226" t="n">
        <v>0</v>
      </c>
      <c r="AE267" s="227" t="n">
        <v>0</v>
      </c>
      <c r="AG267" s="227" t="n">
        <v>0</v>
      </c>
      <c r="AH267" s="227" t="n">
        <v>0</v>
      </c>
      <c r="AI267" s="227" t="n">
        <v>-0.2</v>
      </c>
      <c r="AJ267" s="227" t="n">
        <v>0</v>
      </c>
    </row>
    <row r="268" customFormat="false" ht="12.75" hidden="false" customHeight="false" outlineLevel="0" collapsed="false">
      <c r="D268" s="226" t="n">
        <v>45139</v>
      </c>
      <c r="E268" s="227" t="n">
        <v>0.0566823131551732</v>
      </c>
      <c r="F268" s="227" t="n">
        <v>5.9165</v>
      </c>
      <c r="G268" s="227" t="n">
        <v>0.17</v>
      </c>
      <c r="H268" s="227" t="n">
        <v>0</v>
      </c>
      <c r="I268" s="227" t="n">
        <v>0</v>
      </c>
      <c r="K268" s="227" t="n">
        <v>-0.07</v>
      </c>
      <c r="L268" s="227" t="n">
        <v>0</v>
      </c>
      <c r="N268" s="227" t="n">
        <v>0</v>
      </c>
      <c r="O268" s="227" t="n">
        <v>0</v>
      </c>
      <c r="Q268" s="227" t="n">
        <v>0</v>
      </c>
      <c r="R268" s="227" t="n">
        <v>0</v>
      </c>
      <c r="S268" s="227" t="n">
        <v>0</v>
      </c>
      <c r="T268" s="227" t="n">
        <v>0</v>
      </c>
      <c r="U268" s="227" t="n">
        <v>0</v>
      </c>
      <c r="V268" s="227" t="n">
        <v>0</v>
      </c>
      <c r="AB268" s="227" t="n">
        <v>0</v>
      </c>
      <c r="AC268" s="227" t="n">
        <v>0</v>
      </c>
      <c r="AD268" s="226" t="n">
        <v>0</v>
      </c>
      <c r="AE268" s="227" t="n">
        <v>0</v>
      </c>
      <c r="AG268" s="227" t="n">
        <v>0</v>
      </c>
      <c r="AH268" s="227" t="n">
        <v>0</v>
      </c>
      <c r="AI268" s="227" t="n">
        <v>-0.2</v>
      </c>
      <c r="AJ268" s="227" t="n">
        <v>0</v>
      </c>
    </row>
    <row r="269" customFormat="false" ht="12.75" hidden="false" customHeight="false" outlineLevel="0" collapsed="false">
      <c r="D269" s="226" t="n">
        <v>45170</v>
      </c>
      <c r="E269" s="227" t="n">
        <v>0.0566843554500833</v>
      </c>
      <c r="F269" s="227" t="n">
        <v>5.9105</v>
      </c>
      <c r="G269" s="227" t="n">
        <v>0.17</v>
      </c>
      <c r="H269" s="227" t="n">
        <v>0</v>
      </c>
      <c r="I269" s="227" t="n">
        <v>0</v>
      </c>
      <c r="K269" s="227" t="n">
        <v>-0.07</v>
      </c>
      <c r="L269" s="227" t="n">
        <v>0</v>
      </c>
      <c r="N269" s="227" t="n">
        <v>0</v>
      </c>
      <c r="O269" s="227" t="n">
        <v>0</v>
      </c>
      <c r="Q269" s="227" t="n">
        <v>0</v>
      </c>
      <c r="R269" s="227" t="n">
        <v>0</v>
      </c>
      <c r="S269" s="227" t="n">
        <v>0</v>
      </c>
      <c r="T269" s="227" t="n">
        <v>0</v>
      </c>
      <c r="U269" s="227" t="n">
        <v>0</v>
      </c>
      <c r="V269" s="227" t="n">
        <v>0</v>
      </c>
      <c r="AB269" s="227" t="n">
        <v>0</v>
      </c>
      <c r="AC269" s="227" t="n">
        <v>0</v>
      </c>
      <c r="AD269" s="226" t="n">
        <v>0</v>
      </c>
      <c r="AE269" s="227" t="n">
        <v>0</v>
      </c>
      <c r="AG269" s="227" t="n">
        <v>0</v>
      </c>
      <c r="AH269" s="227" t="n">
        <v>0</v>
      </c>
      <c r="AI269" s="227" t="n">
        <v>-0.2</v>
      </c>
      <c r="AJ269" s="227" t="n">
        <v>0</v>
      </c>
    </row>
    <row r="270" customFormat="false" ht="12.75" hidden="false" customHeight="false" outlineLevel="0" collapsed="false">
      <c r="D270" s="226" t="n">
        <v>45200</v>
      </c>
      <c r="E270" s="227" t="n">
        <v>0.0566863318645137</v>
      </c>
      <c r="F270" s="227" t="n">
        <v>5.9105</v>
      </c>
      <c r="G270" s="227" t="n">
        <v>0.17</v>
      </c>
      <c r="H270" s="227" t="n">
        <v>0</v>
      </c>
      <c r="I270" s="227" t="n">
        <v>0</v>
      </c>
      <c r="K270" s="227" t="n">
        <v>-0.07</v>
      </c>
      <c r="L270" s="227" t="n">
        <v>0</v>
      </c>
      <c r="N270" s="227" t="n">
        <v>0</v>
      </c>
      <c r="O270" s="227" t="n">
        <v>0</v>
      </c>
      <c r="Q270" s="227" t="n">
        <v>0</v>
      </c>
      <c r="R270" s="227" t="n">
        <v>0</v>
      </c>
      <c r="S270" s="227" t="n">
        <v>0</v>
      </c>
      <c r="T270" s="227" t="n">
        <v>0</v>
      </c>
      <c r="U270" s="227" t="n">
        <v>0</v>
      </c>
      <c r="V270" s="227" t="n">
        <v>0</v>
      </c>
      <c r="AB270" s="227" t="n">
        <v>0</v>
      </c>
      <c r="AC270" s="227" t="n">
        <v>0</v>
      </c>
      <c r="AD270" s="226" t="n">
        <v>0</v>
      </c>
      <c r="AE270" s="227" t="n">
        <v>0</v>
      </c>
      <c r="AG270" s="227" t="n">
        <v>0</v>
      </c>
      <c r="AH270" s="227" t="n">
        <v>0</v>
      </c>
      <c r="AI270" s="227" t="n">
        <v>-0.2</v>
      </c>
      <c r="AJ270" s="227" t="n">
        <v>0</v>
      </c>
    </row>
    <row r="271" customFormat="false" ht="12.75" hidden="false" customHeight="false" outlineLevel="0" collapsed="false">
      <c r="D271" s="226" t="n">
        <v>45231</v>
      </c>
      <c r="E271" s="227" t="n">
        <v>0.0566883741594268</v>
      </c>
      <c r="F271" s="227" t="n">
        <v>6.0805</v>
      </c>
      <c r="G271" s="227" t="n">
        <v>0.17</v>
      </c>
      <c r="H271" s="227" t="n">
        <v>0</v>
      </c>
      <c r="I271" s="227" t="n">
        <v>0</v>
      </c>
      <c r="K271" s="227" t="n">
        <v>-0.07</v>
      </c>
      <c r="L271" s="227" t="n">
        <v>0</v>
      </c>
      <c r="N271" s="227" t="n">
        <v>0</v>
      </c>
      <c r="O271" s="227" t="n">
        <v>0</v>
      </c>
      <c r="Q271" s="227" t="n">
        <v>0</v>
      </c>
      <c r="R271" s="227" t="n">
        <v>0</v>
      </c>
      <c r="S271" s="227" t="n">
        <v>0</v>
      </c>
      <c r="T271" s="227" t="n">
        <v>0</v>
      </c>
      <c r="U271" s="227" t="n">
        <v>0</v>
      </c>
      <c r="V271" s="227" t="n">
        <v>0</v>
      </c>
      <c r="AB271" s="227" t="n">
        <v>0</v>
      </c>
      <c r="AC271" s="227" t="n">
        <v>0</v>
      </c>
      <c r="AD271" s="226" t="n">
        <v>0</v>
      </c>
      <c r="AE271" s="227" t="n">
        <v>0</v>
      </c>
      <c r="AG271" s="227" t="n">
        <v>0</v>
      </c>
      <c r="AH271" s="227" t="n">
        <v>0</v>
      </c>
      <c r="AI271" s="227" t="n">
        <v>-0.2</v>
      </c>
      <c r="AJ271" s="227" t="n">
        <v>0</v>
      </c>
    </row>
    <row r="272" customFormat="false" ht="12.75" hidden="false" customHeight="false" outlineLevel="0" collapsed="false">
      <c r="D272" s="226" t="n">
        <v>45261</v>
      </c>
      <c r="E272" s="227" t="n">
        <v>0.0566903505738603</v>
      </c>
      <c r="F272" s="227" t="n">
        <v>6.2115</v>
      </c>
      <c r="G272" s="227" t="n">
        <v>0.17</v>
      </c>
      <c r="H272" s="227" t="n">
        <v>0</v>
      </c>
      <c r="I272" s="227" t="n">
        <v>0</v>
      </c>
      <c r="K272" s="227" t="n">
        <v>-0.07</v>
      </c>
      <c r="L272" s="227" t="n">
        <v>0</v>
      </c>
      <c r="N272" s="227" t="n">
        <v>0</v>
      </c>
      <c r="O272" s="227" t="n">
        <v>0</v>
      </c>
      <c r="Q272" s="227" t="n">
        <v>0</v>
      </c>
      <c r="R272" s="227" t="n">
        <v>0</v>
      </c>
      <c r="S272" s="227" t="n">
        <v>0</v>
      </c>
      <c r="T272" s="227" t="n">
        <v>0</v>
      </c>
      <c r="U272" s="227" t="n">
        <v>0</v>
      </c>
      <c r="V272" s="227" t="n">
        <v>0</v>
      </c>
      <c r="AB272" s="227" t="n">
        <v>0</v>
      </c>
      <c r="AC272" s="227" t="n">
        <v>0</v>
      </c>
      <c r="AD272" s="226" t="n">
        <v>0</v>
      </c>
      <c r="AE272" s="227" t="n">
        <v>0</v>
      </c>
      <c r="AG272" s="227" t="n">
        <v>0</v>
      </c>
      <c r="AH272" s="227" t="n">
        <v>0</v>
      </c>
      <c r="AI272" s="227" t="n">
        <v>-0.2</v>
      </c>
      <c r="AJ272" s="227" t="n">
        <v>0</v>
      </c>
    </row>
    <row r="273" customFormat="false" ht="12.75" hidden="false" customHeight="false" outlineLevel="0" collapsed="false">
      <c r="D273" s="226" t="n">
        <v>45292</v>
      </c>
      <c r="E273" s="227" t="n">
        <v>0.0566923928687757</v>
      </c>
      <c r="F273" s="227" t="n">
        <v>6.284</v>
      </c>
      <c r="G273" s="227" t="n">
        <v>0.17</v>
      </c>
      <c r="H273" s="227" t="n">
        <v>0</v>
      </c>
      <c r="I273" s="227" t="n">
        <v>0</v>
      </c>
      <c r="K273" s="227" t="n">
        <v>-0.07</v>
      </c>
      <c r="L273" s="227" t="n">
        <v>0</v>
      </c>
      <c r="N273" s="227" t="n">
        <v>0</v>
      </c>
      <c r="O273" s="227" t="n">
        <v>0</v>
      </c>
      <c r="Q273" s="227" t="n">
        <v>0</v>
      </c>
      <c r="R273" s="227" t="n">
        <v>0</v>
      </c>
      <c r="S273" s="227" t="n">
        <v>0</v>
      </c>
      <c r="T273" s="227" t="n">
        <v>0</v>
      </c>
      <c r="U273" s="227" t="n">
        <v>0</v>
      </c>
      <c r="V273" s="227" t="n">
        <v>0</v>
      </c>
      <c r="AB273" s="227" t="n">
        <v>0</v>
      </c>
      <c r="AC273" s="227" t="n">
        <v>0</v>
      </c>
      <c r="AD273" s="226" t="n">
        <v>0</v>
      </c>
      <c r="AE273" s="227" t="n">
        <v>0</v>
      </c>
      <c r="AG273" s="227" t="n">
        <v>0</v>
      </c>
      <c r="AH273" s="227" t="n">
        <v>0</v>
      </c>
      <c r="AI273" s="227" t="n">
        <v>-0.2</v>
      </c>
      <c r="AJ273" s="227" t="n">
        <v>0</v>
      </c>
    </row>
    <row r="274" customFormat="false" ht="12.75" hidden="false" customHeight="false" outlineLevel="0" collapsed="false">
      <c r="D274" s="226" t="n">
        <v>45323</v>
      </c>
      <c r="E274" s="227" t="n">
        <v>0.0566944351636933</v>
      </c>
      <c r="F274" s="227" t="n">
        <v>6.196</v>
      </c>
      <c r="G274" s="227" t="n">
        <v>0.17</v>
      </c>
      <c r="H274" s="227" t="n">
        <v>0</v>
      </c>
      <c r="I274" s="227" t="n">
        <v>0</v>
      </c>
      <c r="K274" s="227" t="n">
        <v>-0.07</v>
      </c>
      <c r="L274" s="227" t="n">
        <v>0</v>
      </c>
      <c r="N274" s="227" t="n">
        <v>0</v>
      </c>
      <c r="O274" s="227" t="n">
        <v>0</v>
      </c>
      <c r="Q274" s="227" t="n">
        <v>0</v>
      </c>
      <c r="R274" s="227" t="n">
        <v>0</v>
      </c>
      <c r="S274" s="227" t="n">
        <v>0</v>
      </c>
      <c r="T274" s="227" t="n">
        <v>0</v>
      </c>
      <c r="U274" s="227" t="n">
        <v>0</v>
      </c>
      <c r="V274" s="227" t="n">
        <v>0</v>
      </c>
      <c r="AB274" s="227" t="n">
        <v>0</v>
      </c>
      <c r="AC274" s="227" t="n">
        <v>0</v>
      </c>
      <c r="AD274" s="226" t="n">
        <v>0</v>
      </c>
      <c r="AE274" s="227" t="n">
        <v>0</v>
      </c>
      <c r="AG274" s="227" t="n">
        <v>0</v>
      </c>
      <c r="AH274" s="227" t="n">
        <v>0</v>
      </c>
      <c r="AI274" s="227" t="n">
        <v>-0.2</v>
      </c>
      <c r="AJ274" s="227" t="n">
        <v>0</v>
      </c>
    </row>
    <row r="275" customFormat="false" ht="12.75" hidden="false" customHeight="false" outlineLevel="0" collapsed="false">
      <c r="D275" s="226" t="n">
        <v>45352</v>
      </c>
      <c r="E275" s="227" t="n">
        <v>0.0566963456976492</v>
      </c>
      <c r="F275" s="227" t="n">
        <v>6.057</v>
      </c>
      <c r="G275" s="227" t="n">
        <v>0.17</v>
      </c>
      <c r="H275" s="227" t="n">
        <v>0</v>
      </c>
      <c r="I275" s="227" t="n">
        <v>0</v>
      </c>
      <c r="K275" s="227" t="n">
        <v>-0.07</v>
      </c>
      <c r="L275" s="227" t="n">
        <v>0</v>
      </c>
      <c r="N275" s="227" t="n">
        <v>0</v>
      </c>
      <c r="O275" s="227" t="n">
        <v>0</v>
      </c>
      <c r="Q275" s="227" t="n">
        <v>0</v>
      </c>
      <c r="R275" s="227" t="n">
        <v>0</v>
      </c>
      <c r="S275" s="227" t="n">
        <v>0</v>
      </c>
      <c r="T275" s="227" t="n">
        <v>0</v>
      </c>
      <c r="U275" s="227" t="n">
        <v>0</v>
      </c>
      <c r="V275" s="227" t="n">
        <v>0</v>
      </c>
      <c r="AB275" s="227" t="n">
        <v>0</v>
      </c>
      <c r="AC275" s="227" t="n">
        <v>0</v>
      </c>
      <c r="AD275" s="226" t="n">
        <v>0</v>
      </c>
      <c r="AE275" s="227" t="n">
        <v>0</v>
      </c>
      <c r="AG275" s="227" t="n">
        <v>0</v>
      </c>
      <c r="AH275" s="227" t="n">
        <v>0</v>
      </c>
      <c r="AI275" s="227" t="n">
        <v>-0.2</v>
      </c>
      <c r="AJ275" s="227" t="n">
        <v>0</v>
      </c>
    </row>
    <row r="276" customFormat="false" ht="12.75" hidden="false" customHeight="false" outlineLevel="0" collapsed="false">
      <c r="D276" s="226" t="n">
        <v>45383</v>
      </c>
      <c r="E276" s="227" t="n">
        <v>0.0566983879925687</v>
      </c>
      <c r="F276" s="227" t="n">
        <v>5.903</v>
      </c>
      <c r="G276" s="227" t="n">
        <v>0.17</v>
      </c>
      <c r="H276" s="227" t="n">
        <v>0</v>
      </c>
      <c r="I276" s="227" t="n">
        <v>0</v>
      </c>
      <c r="K276" s="227" t="n">
        <v>-0.07</v>
      </c>
      <c r="L276" s="227" t="n">
        <v>0</v>
      </c>
      <c r="N276" s="227" t="n">
        <v>0</v>
      </c>
      <c r="O276" s="227" t="n">
        <v>0</v>
      </c>
      <c r="Q276" s="227" t="n">
        <v>0</v>
      </c>
      <c r="R276" s="227" t="n">
        <v>0</v>
      </c>
      <c r="S276" s="227" t="n">
        <v>0</v>
      </c>
      <c r="T276" s="227" t="n">
        <v>0</v>
      </c>
      <c r="U276" s="227" t="n">
        <v>0</v>
      </c>
      <c r="V276" s="227" t="n">
        <v>0</v>
      </c>
      <c r="AB276" s="227" t="n">
        <v>0</v>
      </c>
      <c r="AC276" s="227" t="n">
        <v>0</v>
      </c>
      <c r="AD276" s="226" t="n">
        <v>0</v>
      </c>
      <c r="AE276" s="227" t="n">
        <v>0</v>
      </c>
      <c r="AG276" s="227" t="n">
        <v>0</v>
      </c>
      <c r="AH276" s="227" t="n">
        <v>0</v>
      </c>
      <c r="AI276" s="227" t="n">
        <v>-0.2</v>
      </c>
      <c r="AJ276" s="227" t="n">
        <v>0</v>
      </c>
    </row>
    <row r="277" customFormat="false" ht="12.75" hidden="false" customHeight="false" outlineLevel="0" collapsed="false">
      <c r="D277" s="226" t="n">
        <v>45413</v>
      </c>
      <c r="E277" s="227" t="n">
        <v>0.0567003644070088</v>
      </c>
      <c r="F277" s="227" t="n">
        <v>5.908</v>
      </c>
      <c r="G277" s="227" t="n">
        <v>0.17</v>
      </c>
      <c r="H277" s="227" t="n">
        <v>0</v>
      </c>
      <c r="I277" s="227" t="n">
        <v>0</v>
      </c>
      <c r="K277" s="227" t="n">
        <v>-0.07</v>
      </c>
      <c r="L277" s="227" t="n">
        <v>0</v>
      </c>
      <c r="N277" s="227" t="n">
        <v>0</v>
      </c>
      <c r="O277" s="227" t="n">
        <v>0</v>
      </c>
      <c r="Q277" s="227" t="n">
        <v>0</v>
      </c>
      <c r="R277" s="227" t="n">
        <v>0</v>
      </c>
      <c r="S277" s="227" t="n">
        <v>0</v>
      </c>
      <c r="T277" s="227" t="n">
        <v>0</v>
      </c>
      <c r="U277" s="227" t="n">
        <v>0</v>
      </c>
      <c r="V277" s="227" t="n">
        <v>0</v>
      </c>
      <c r="AB277" s="227" t="n">
        <v>0</v>
      </c>
      <c r="AC277" s="227" t="n">
        <v>0</v>
      </c>
      <c r="AD277" s="226" t="n">
        <v>0</v>
      </c>
      <c r="AE277" s="227" t="n">
        <v>0</v>
      </c>
      <c r="AG277" s="227" t="n">
        <v>0</v>
      </c>
      <c r="AH277" s="227" t="n">
        <v>0</v>
      </c>
      <c r="AI277" s="227" t="n">
        <v>-0.2</v>
      </c>
      <c r="AJ277" s="227" t="n">
        <v>0</v>
      </c>
    </row>
    <row r="278" customFormat="false" ht="12.75" hidden="false" customHeight="false" outlineLevel="0" collapsed="false">
      <c r="D278" s="226" t="n">
        <v>45444</v>
      </c>
      <c r="E278" s="227" t="n">
        <v>0.0567024067019313</v>
      </c>
      <c r="F278" s="227" t="n">
        <v>5.946</v>
      </c>
      <c r="G278" s="227" t="n">
        <v>0.17</v>
      </c>
      <c r="H278" s="227" t="n">
        <v>0</v>
      </c>
      <c r="I278" s="227" t="n">
        <v>0</v>
      </c>
      <c r="K278" s="227" t="n">
        <v>-0.07</v>
      </c>
      <c r="L278" s="227" t="n">
        <v>0</v>
      </c>
      <c r="N278" s="227" t="n">
        <v>0</v>
      </c>
      <c r="O278" s="227" t="n">
        <v>0</v>
      </c>
      <c r="Q278" s="227" t="n">
        <v>0</v>
      </c>
      <c r="R278" s="227" t="n">
        <v>0</v>
      </c>
      <c r="S278" s="227" t="n">
        <v>0</v>
      </c>
      <c r="T278" s="227" t="n">
        <v>0</v>
      </c>
      <c r="U278" s="227" t="n">
        <v>0</v>
      </c>
      <c r="V278" s="227" t="n">
        <v>0</v>
      </c>
      <c r="AB278" s="227" t="n">
        <v>0</v>
      </c>
      <c r="AC278" s="227" t="n">
        <v>0</v>
      </c>
      <c r="AD278" s="226" t="n">
        <v>0</v>
      </c>
      <c r="AE278" s="227" t="n">
        <v>0</v>
      </c>
      <c r="AG278" s="227" t="n">
        <v>0</v>
      </c>
      <c r="AH278" s="227" t="n">
        <v>0</v>
      </c>
      <c r="AI278" s="227" t="n">
        <v>-0.2</v>
      </c>
      <c r="AJ278" s="227" t="n">
        <v>0</v>
      </c>
    </row>
    <row r="279" customFormat="false" ht="12.75" hidden="false" customHeight="false" outlineLevel="0" collapsed="false">
      <c r="D279" s="226" t="n">
        <v>45474</v>
      </c>
      <c r="E279" s="227" t="n">
        <v>0.056704383116374</v>
      </c>
      <c r="F279" s="227" t="n">
        <v>5.991</v>
      </c>
      <c r="G279" s="227" t="n">
        <v>0.17</v>
      </c>
      <c r="H279" s="227" t="n">
        <v>0</v>
      </c>
      <c r="I279" s="227" t="n">
        <v>0</v>
      </c>
      <c r="K279" s="227" t="n">
        <v>-0.07</v>
      </c>
      <c r="L279" s="227" t="n">
        <v>0</v>
      </c>
      <c r="N279" s="227" t="n">
        <v>0</v>
      </c>
      <c r="O279" s="227" t="n">
        <v>0</v>
      </c>
      <c r="Q279" s="227" t="n">
        <v>0</v>
      </c>
      <c r="R279" s="227" t="n">
        <v>0</v>
      </c>
      <c r="S279" s="227" t="n">
        <v>0</v>
      </c>
      <c r="T279" s="227" t="n">
        <v>0</v>
      </c>
      <c r="U279" s="227" t="n">
        <v>0</v>
      </c>
      <c r="V279" s="227" t="n">
        <v>0</v>
      </c>
      <c r="AB279" s="227" t="n">
        <v>0</v>
      </c>
      <c r="AC279" s="227" t="n">
        <v>0</v>
      </c>
      <c r="AD279" s="226" t="n">
        <v>0</v>
      </c>
      <c r="AE279" s="227" t="n">
        <v>0</v>
      </c>
      <c r="AG279" s="227" t="n">
        <v>0</v>
      </c>
      <c r="AH279" s="227" t="n">
        <v>0</v>
      </c>
      <c r="AI279" s="227" t="n">
        <v>-0.2</v>
      </c>
      <c r="AJ279" s="227" t="n">
        <v>0</v>
      </c>
    </row>
    <row r="280" customFormat="false" ht="12.75" hidden="false" customHeight="false" outlineLevel="0" collapsed="false">
      <c r="D280" s="226" t="n">
        <v>45505</v>
      </c>
      <c r="E280" s="227" t="n">
        <v>0.0567064254112988</v>
      </c>
      <c r="F280" s="227" t="n">
        <v>6.029</v>
      </c>
      <c r="G280" s="227" t="n">
        <v>0.17</v>
      </c>
      <c r="H280" s="227" t="n">
        <v>0</v>
      </c>
      <c r="I280" s="227" t="n">
        <v>0</v>
      </c>
      <c r="K280" s="227" t="n">
        <v>-0.07</v>
      </c>
      <c r="L280" s="227" t="n">
        <v>0</v>
      </c>
      <c r="N280" s="227" t="n">
        <v>0</v>
      </c>
      <c r="O280" s="227" t="n">
        <v>0</v>
      </c>
      <c r="Q280" s="227" t="n">
        <v>0</v>
      </c>
      <c r="R280" s="227" t="n">
        <v>0</v>
      </c>
      <c r="S280" s="227" t="n">
        <v>0</v>
      </c>
      <c r="T280" s="227" t="n">
        <v>0</v>
      </c>
      <c r="U280" s="227" t="n">
        <v>0</v>
      </c>
      <c r="V280" s="227" t="n">
        <v>0</v>
      </c>
      <c r="AB280" s="227" t="n">
        <v>0</v>
      </c>
      <c r="AC280" s="227" t="n">
        <v>0</v>
      </c>
      <c r="AD280" s="226" t="n">
        <v>0</v>
      </c>
      <c r="AE280" s="227" t="n">
        <v>0</v>
      </c>
      <c r="AG280" s="227" t="n">
        <v>0</v>
      </c>
      <c r="AH280" s="227" t="n">
        <v>0</v>
      </c>
      <c r="AI280" s="227" t="n">
        <v>-0.2</v>
      </c>
      <c r="AJ280" s="227" t="n">
        <v>0</v>
      </c>
    </row>
    <row r="281" customFormat="false" ht="12.75" hidden="false" customHeight="false" outlineLevel="0" collapsed="false">
      <c r="D281" s="226" t="n">
        <v>45536</v>
      </c>
      <c r="E281" s="227" t="n">
        <v>0.0567084677062257</v>
      </c>
      <c r="F281" s="227" t="n">
        <v>6.023</v>
      </c>
      <c r="G281" s="227" t="n">
        <v>0.17</v>
      </c>
      <c r="H281" s="227" t="n">
        <v>0</v>
      </c>
      <c r="I281" s="227" t="n">
        <v>0</v>
      </c>
      <c r="K281" s="227" t="n">
        <v>-0.07</v>
      </c>
      <c r="L281" s="227" t="n">
        <v>0</v>
      </c>
      <c r="N281" s="227" t="n">
        <v>0</v>
      </c>
      <c r="O281" s="227" t="n">
        <v>0</v>
      </c>
      <c r="Q281" s="227" t="n">
        <v>0</v>
      </c>
      <c r="R281" s="227" t="n">
        <v>0</v>
      </c>
      <c r="S281" s="227" t="n">
        <v>0</v>
      </c>
      <c r="T281" s="227" t="n">
        <v>0</v>
      </c>
      <c r="U281" s="227" t="n">
        <v>0</v>
      </c>
      <c r="V281" s="227" t="n">
        <v>0</v>
      </c>
      <c r="AB281" s="227" t="n">
        <v>0</v>
      </c>
      <c r="AC281" s="227" t="n">
        <v>0</v>
      </c>
      <c r="AD281" s="226" t="n">
        <v>0</v>
      </c>
      <c r="AE281" s="227" t="n">
        <v>0</v>
      </c>
      <c r="AG281" s="227" t="n">
        <v>0</v>
      </c>
      <c r="AH281" s="227" t="n">
        <v>0</v>
      </c>
      <c r="AI281" s="227" t="n">
        <v>-0.2</v>
      </c>
      <c r="AJ281" s="227" t="n">
        <v>0</v>
      </c>
    </row>
    <row r="282" customFormat="false" ht="12.75" hidden="false" customHeight="false" outlineLevel="0" collapsed="false">
      <c r="D282" s="226" t="n">
        <v>45566</v>
      </c>
      <c r="E282" s="227" t="n">
        <v>0.0567104441206725</v>
      </c>
      <c r="F282" s="227" t="n">
        <v>6.023</v>
      </c>
      <c r="G282" s="227" t="n">
        <v>0.17</v>
      </c>
      <c r="H282" s="227" t="n">
        <v>0</v>
      </c>
      <c r="I282" s="227" t="n">
        <v>0</v>
      </c>
      <c r="K282" s="227" t="n">
        <v>-0.07</v>
      </c>
      <c r="L282" s="227" t="n">
        <v>0</v>
      </c>
      <c r="N282" s="227" t="n">
        <v>0</v>
      </c>
      <c r="O282" s="227" t="n">
        <v>0</v>
      </c>
      <c r="Q282" s="227" t="n">
        <v>0</v>
      </c>
      <c r="R282" s="227" t="n">
        <v>0</v>
      </c>
      <c r="S282" s="227" t="n">
        <v>0</v>
      </c>
      <c r="T282" s="227" t="n">
        <v>0</v>
      </c>
      <c r="U282" s="227" t="n">
        <v>0</v>
      </c>
      <c r="V282" s="227" t="n">
        <v>0</v>
      </c>
      <c r="AB282" s="227" t="n">
        <v>0</v>
      </c>
      <c r="AC282" s="227" t="n">
        <v>0</v>
      </c>
      <c r="AD282" s="226" t="n">
        <v>0</v>
      </c>
      <c r="AE282" s="227" t="n">
        <v>0</v>
      </c>
      <c r="AG282" s="227" t="n">
        <v>0</v>
      </c>
      <c r="AH282" s="227" t="n">
        <v>0</v>
      </c>
      <c r="AI282" s="227" t="n">
        <v>-0.2</v>
      </c>
      <c r="AJ282" s="227" t="n">
        <v>0</v>
      </c>
    </row>
    <row r="283" customFormat="false" ht="12.75" hidden="false" customHeight="false" outlineLevel="0" collapsed="false">
      <c r="D283" s="226" t="n">
        <v>45597</v>
      </c>
      <c r="E283" s="227" t="n">
        <v>0.0567124864156017</v>
      </c>
      <c r="F283" s="227" t="n">
        <v>6.193</v>
      </c>
      <c r="G283" s="227" t="n">
        <v>0.17</v>
      </c>
      <c r="H283" s="227" t="n">
        <v>0</v>
      </c>
      <c r="I283" s="227" t="n">
        <v>0</v>
      </c>
      <c r="K283" s="227" t="n">
        <v>-0.07</v>
      </c>
      <c r="L283" s="227" t="n">
        <v>0</v>
      </c>
      <c r="N283" s="227" t="n">
        <v>0</v>
      </c>
      <c r="O283" s="227" t="n">
        <v>0</v>
      </c>
      <c r="Q283" s="227" t="n">
        <v>0</v>
      </c>
      <c r="R283" s="227" t="n">
        <v>0</v>
      </c>
      <c r="S283" s="227" t="n">
        <v>0</v>
      </c>
      <c r="T283" s="227" t="n">
        <v>0</v>
      </c>
      <c r="U283" s="227" t="n">
        <v>0</v>
      </c>
      <c r="V283" s="227" t="n">
        <v>0</v>
      </c>
      <c r="AB283" s="227" t="n">
        <v>0</v>
      </c>
      <c r="AC283" s="227" t="n">
        <v>0</v>
      </c>
      <c r="AD283" s="226" t="n">
        <v>0</v>
      </c>
      <c r="AE283" s="227" t="n">
        <v>0</v>
      </c>
      <c r="AG283" s="227" t="n">
        <v>0</v>
      </c>
      <c r="AH283" s="227" t="n">
        <v>0</v>
      </c>
      <c r="AI283" s="227" t="n">
        <v>-0.2</v>
      </c>
      <c r="AJ283" s="227" t="n">
        <v>0</v>
      </c>
    </row>
    <row r="284" customFormat="false" ht="12.75" hidden="false" customHeight="false" outlineLevel="0" collapsed="false">
      <c r="D284" s="226" t="n">
        <v>45627</v>
      </c>
      <c r="E284" s="227" t="n">
        <v>0.0567144628300511</v>
      </c>
      <c r="F284" s="227" t="n">
        <v>6.324</v>
      </c>
      <c r="G284" s="227" t="n">
        <v>0.17</v>
      </c>
      <c r="H284" s="227" t="n">
        <v>0</v>
      </c>
      <c r="I284" s="227" t="n">
        <v>0</v>
      </c>
      <c r="K284" s="227" t="n">
        <v>-0.07</v>
      </c>
      <c r="L284" s="227" t="n">
        <v>0</v>
      </c>
      <c r="N284" s="227" t="n">
        <v>0</v>
      </c>
      <c r="O284" s="227" t="n">
        <v>0</v>
      </c>
      <c r="Q284" s="227" t="n">
        <v>0</v>
      </c>
      <c r="R284" s="227" t="n">
        <v>0</v>
      </c>
      <c r="S284" s="227" t="n">
        <v>0</v>
      </c>
      <c r="T284" s="227" t="n">
        <v>0</v>
      </c>
      <c r="U284" s="227" t="n">
        <v>0</v>
      </c>
      <c r="V284" s="227" t="n">
        <v>0</v>
      </c>
      <c r="AB284" s="227" t="n">
        <v>0</v>
      </c>
      <c r="AC284" s="227" t="n">
        <v>0</v>
      </c>
      <c r="AD284" s="226" t="n">
        <v>0</v>
      </c>
      <c r="AE284" s="227" t="n">
        <v>0</v>
      </c>
      <c r="AG284" s="227" t="n">
        <v>0</v>
      </c>
      <c r="AH284" s="227" t="n">
        <v>0</v>
      </c>
      <c r="AI284" s="227" t="n">
        <v>-0.2</v>
      </c>
      <c r="AJ284" s="227" t="n">
        <v>0</v>
      </c>
    </row>
    <row r="285" customFormat="false" ht="12.75" hidden="false" customHeight="false" outlineLevel="0" collapsed="false">
      <c r="D285" s="226" t="n">
        <v>45658</v>
      </c>
      <c r="E285" s="227" t="n">
        <v>0.0567165051249829</v>
      </c>
      <c r="H285" s="227" t="n">
        <v>0</v>
      </c>
      <c r="I285" s="227" t="n">
        <v>0</v>
      </c>
      <c r="K285" s="227" t="n">
        <v>-0.07</v>
      </c>
      <c r="L285" s="227" t="n">
        <v>0</v>
      </c>
      <c r="N285" s="227" t="n">
        <v>0</v>
      </c>
      <c r="O285" s="227" t="n">
        <v>0</v>
      </c>
      <c r="Q285" s="227" t="n">
        <v>0</v>
      </c>
      <c r="R285" s="227" t="n">
        <v>0</v>
      </c>
      <c r="S285" s="227" t="n">
        <v>0</v>
      </c>
      <c r="T285" s="227" t="n">
        <v>0</v>
      </c>
      <c r="U285" s="227" t="n">
        <v>0</v>
      </c>
      <c r="V285" s="227" t="n">
        <v>0</v>
      </c>
      <c r="AB285" s="227" t="n">
        <v>0</v>
      </c>
      <c r="AC285" s="227" t="n">
        <v>0</v>
      </c>
      <c r="AD285" s="226" t="n">
        <v>0</v>
      </c>
      <c r="AE285" s="227" t="n">
        <v>0</v>
      </c>
      <c r="AG285" s="227" t="n">
        <v>0</v>
      </c>
      <c r="AH285" s="227" t="n">
        <v>0</v>
      </c>
      <c r="AI285" s="227" t="n">
        <v>-0.2</v>
      </c>
      <c r="AJ285" s="227" t="n">
        <v>0</v>
      </c>
    </row>
    <row r="286" customFormat="false" ht="12.75" hidden="false" customHeight="false" outlineLevel="0" collapsed="false">
      <c r="D286" s="226" t="n">
        <v>45689</v>
      </c>
      <c r="E286" s="227" t="n">
        <v>0.056718547419917</v>
      </c>
      <c r="H286" s="227" t="n">
        <v>0</v>
      </c>
      <c r="I286" s="227" t="n">
        <v>0</v>
      </c>
      <c r="K286" s="227" t="n">
        <v>-0.07</v>
      </c>
      <c r="L286" s="227" t="n">
        <v>0</v>
      </c>
      <c r="N286" s="227" t="n">
        <v>0</v>
      </c>
      <c r="O286" s="227" t="n">
        <v>0</v>
      </c>
      <c r="Q286" s="227" t="n">
        <v>0</v>
      </c>
      <c r="R286" s="227" t="n">
        <v>0</v>
      </c>
      <c r="S286" s="227" t="n">
        <v>0</v>
      </c>
      <c r="T286" s="227" t="n">
        <v>0</v>
      </c>
      <c r="U286" s="227" t="n">
        <v>0</v>
      </c>
      <c r="V286" s="227" t="n">
        <v>0</v>
      </c>
      <c r="AB286" s="227" t="n">
        <v>0</v>
      </c>
      <c r="AC286" s="227" t="n">
        <v>0</v>
      </c>
      <c r="AD286" s="226" t="n">
        <v>0</v>
      </c>
      <c r="AE286" s="227" t="n">
        <v>0</v>
      </c>
      <c r="AG286" s="227" t="n">
        <v>0</v>
      </c>
      <c r="AH286" s="227" t="n">
        <v>0</v>
      </c>
      <c r="AI286" s="227" t="n">
        <v>-0.2</v>
      </c>
      <c r="AJ286" s="227" t="n">
        <v>0</v>
      </c>
    </row>
    <row r="287" customFormat="false" ht="12.75" hidden="false" customHeight="false" outlineLevel="0" collapsed="false">
      <c r="D287" s="226" t="n">
        <v>45717</v>
      </c>
      <c r="E287" s="227" t="n">
        <v>0.0567203920734061</v>
      </c>
      <c r="H287" s="227" t="n">
        <v>0</v>
      </c>
      <c r="I287" s="227" t="n">
        <v>0</v>
      </c>
      <c r="K287" s="227" t="n">
        <v>-0.07</v>
      </c>
      <c r="L287" s="227" t="n">
        <v>0</v>
      </c>
      <c r="N287" s="227" t="n">
        <v>0</v>
      </c>
      <c r="O287" s="227" t="n">
        <v>0</v>
      </c>
      <c r="Q287" s="227" t="n">
        <v>0</v>
      </c>
      <c r="R287" s="227" t="n">
        <v>0</v>
      </c>
      <c r="S287" s="227" t="n">
        <v>0</v>
      </c>
      <c r="T287" s="227" t="n">
        <v>0</v>
      </c>
      <c r="U287" s="227" t="n">
        <v>0</v>
      </c>
      <c r="V287" s="227" t="n">
        <v>0</v>
      </c>
      <c r="AB287" s="227" t="n">
        <v>0</v>
      </c>
      <c r="AC287" s="227" t="n">
        <v>0</v>
      </c>
      <c r="AD287" s="226" t="n">
        <v>0</v>
      </c>
      <c r="AE287" s="227" t="n">
        <v>0</v>
      </c>
      <c r="AG287" s="227" t="n">
        <v>0</v>
      </c>
      <c r="AH287" s="227" t="n">
        <v>0</v>
      </c>
      <c r="AI287" s="227" t="n">
        <v>-0.2</v>
      </c>
      <c r="AJ287" s="227" t="n">
        <v>0</v>
      </c>
    </row>
    <row r="288" customFormat="false" ht="12.75" hidden="false" customHeight="false" outlineLevel="0" collapsed="false">
      <c r="D288" s="226" t="n">
        <v>45748</v>
      </c>
      <c r="E288" s="227" t="n">
        <v>0.0567224343683423</v>
      </c>
      <c r="H288" s="227" t="n">
        <v>0</v>
      </c>
      <c r="I288" s="227" t="n">
        <v>0</v>
      </c>
      <c r="K288" s="227" t="n">
        <v>-0.07</v>
      </c>
      <c r="L288" s="227" t="n">
        <v>0</v>
      </c>
      <c r="N288" s="227" t="n">
        <v>0</v>
      </c>
      <c r="O288" s="227" t="n">
        <v>0</v>
      </c>
      <c r="Q288" s="227" t="n">
        <v>0</v>
      </c>
      <c r="R288" s="227" t="n">
        <v>0</v>
      </c>
      <c r="S288" s="227" t="n">
        <v>0</v>
      </c>
      <c r="T288" s="227" t="n">
        <v>0</v>
      </c>
      <c r="U288" s="227" t="n">
        <v>0</v>
      </c>
      <c r="V288" s="227" t="n">
        <v>0</v>
      </c>
      <c r="AB288" s="227" t="n">
        <v>0</v>
      </c>
      <c r="AC288" s="227" t="n">
        <v>0</v>
      </c>
      <c r="AD288" s="226" t="n">
        <v>0</v>
      </c>
      <c r="AE288" s="227" t="n">
        <v>0</v>
      </c>
      <c r="AG288" s="227" t="n">
        <v>0</v>
      </c>
      <c r="AH288" s="227" t="n">
        <v>0</v>
      </c>
      <c r="AI288" s="227" t="n">
        <v>-0.2</v>
      </c>
      <c r="AJ288" s="227" t="n">
        <v>0</v>
      </c>
    </row>
    <row r="289" customFormat="false" ht="12.75" hidden="false" customHeight="false" outlineLevel="0" collapsed="false">
      <c r="D289" s="226" t="n">
        <v>45778</v>
      </c>
      <c r="E289" s="227" t="n">
        <v>0.056724410782798</v>
      </c>
      <c r="H289" s="227" t="n">
        <v>0</v>
      </c>
      <c r="I289" s="227" t="n">
        <v>0</v>
      </c>
      <c r="K289" s="227" t="n">
        <v>-0.07</v>
      </c>
      <c r="L289" s="227" t="n">
        <v>0</v>
      </c>
      <c r="N289" s="227" t="n">
        <v>0</v>
      </c>
      <c r="O289" s="227" t="n">
        <v>0</v>
      </c>
      <c r="Q289" s="227" t="n">
        <v>0</v>
      </c>
      <c r="R289" s="227" t="n">
        <v>0</v>
      </c>
      <c r="S289" s="227" t="n">
        <v>0</v>
      </c>
      <c r="T289" s="227" t="n">
        <v>0</v>
      </c>
      <c r="U289" s="227" t="n">
        <v>0</v>
      </c>
      <c r="V289" s="227" t="n">
        <v>0</v>
      </c>
      <c r="AB289" s="227" t="n">
        <v>0</v>
      </c>
      <c r="AC289" s="227" t="n">
        <v>0</v>
      </c>
      <c r="AD289" s="226" t="n">
        <v>0</v>
      </c>
      <c r="AE289" s="227" t="n">
        <v>0</v>
      </c>
      <c r="AG289" s="227" t="n">
        <v>0</v>
      </c>
      <c r="AH289" s="227" t="n">
        <v>0</v>
      </c>
      <c r="AI289" s="227" t="n">
        <v>-0.2</v>
      </c>
      <c r="AJ289" s="227" t="n">
        <v>0</v>
      </c>
    </row>
    <row r="290" customFormat="false" ht="12.75" hidden="false" customHeight="false" outlineLevel="0" collapsed="false">
      <c r="D290" s="226" t="n">
        <v>45809</v>
      </c>
      <c r="E290" s="227" t="n">
        <v>0.0567264530777369</v>
      </c>
      <c r="H290" s="227" t="n">
        <v>0</v>
      </c>
      <c r="I290" s="227" t="n">
        <v>0</v>
      </c>
      <c r="K290" s="227" t="n">
        <v>-0.07</v>
      </c>
      <c r="L290" s="227" t="n">
        <v>0</v>
      </c>
      <c r="N290" s="227" t="n">
        <v>0</v>
      </c>
      <c r="O290" s="227" t="n">
        <v>0</v>
      </c>
      <c r="Q290" s="227" t="n">
        <v>0</v>
      </c>
      <c r="R290" s="227" t="n">
        <v>0</v>
      </c>
      <c r="S290" s="227" t="n">
        <v>0</v>
      </c>
      <c r="T290" s="227" t="n">
        <v>0</v>
      </c>
      <c r="U290" s="227" t="n">
        <v>0</v>
      </c>
      <c r="V290" s="227" t="n">
        <v>0</v>
      </c>
      <c r="AB290" s="227" t="n">
        <v>0</v>
      </c>
      <c r="AC290" s="227" t="n">
        <v>0</v>
      </c>
      <c r="AD290" s="226" t="n">
        <v>0</v>
      </c>
      <c r="AE290" s="227" t="n">
        <v>0</v>
      </c>
      <c r="AG290" s="227" t="n">
        <v>0</v>
      </c>
      <c r="AH290" s="227" t="n">
        <v>0</v>
      </c>
      <c r="AI290" s="227" t="n">
        <v>-0.2</v>
      </c>
      <c r="AJ290" s="227" t="n">
        <v>0</v>
      </c>
    </row>
    <row r="291" customFormat="false" ht="12.75" hidden="false" customHeight="false" outlineLevel="0" collapsed="false">
      <c r="D291" s="226" t="n">
        <v>45839</v>
      </c>
      <c r="E291" s="227" t="n">
        <v>0.0567284294921953</v>
      </c>
      <c r="H291" s="227" t="n">
        <v>0</v>
      </c>
      <c r="I291" s="227" t="n">
        <v>0</v>
      </c>
      <c r="K291" s="227" t="n">
        <v>-0.07</v>
      </c>
      <c r="L291" s="227" t="n">
        <v>0</v>
      </c>
      <c r="N291" s="227" t="n">
        <v>0</v>
      </c>
      <c r="O291" s="227" t="n">
        <v>0</v>
      </c>
      <c r="Q291" s="227" t="n">
        <v>0</v>
      </c>
      <c r="R291" s="227" t="n">
        <v>0</v>
      </c>
      <c r="S291" s="227" t="n">
        <v>0</v>
      </c>
      <c r="T291" s="227" t="n">
        <v>0</v>
      </c>
      <c r="U291" s="227" t="n">
        <v>0</v>
      </c>
      <c r="V291" s="227" t="n">
        <v>0</v>
      </c>
      <c r="AB291" s="227" t="n">
        <v>0</v>
      </c>
      <c r="AC291" s="227" t="n">
        <v>0</v>
      </c>
      <c r="AD291" s="226" t="n">
        <v>0</v>
      </c>
      <c r="AE291" s="227" t="n">
        <v>0</v>
      </c>
      <c r="AG291" s="227" t="n">
        <v>0</v>
      </c>
      <c r="AH291" s="227" t="n">
        <v>0</v>
      </c>
      <c r="AI291" s="227" t="n">
        <v>-0.2</v>
      </c>
      <c r="AJ291" s="227" t="n">
        <v>0</v>
      </c>
    </row>
    <row r="292" customFormat="false" ht="12.75" hidden="false" customHeight="false" outlineLevel="0" collapsed="false">
      <c r="D292" s="226" t="n">
        <v>45870</v>
      </c>
      <c r="E292" s="227" t="n">
        <v>0.0567304717871369</v>
      </c>
      <c r="H292" s="227" t="n">
        <v>0</v>
      </c>
      <c r="I292" s="227" t="n">
        <v>0</v>
      </c>
      <c r="K292" s="227" t="n">
        <v>-0.07</v>
      </c>
      <c r="L292" s="227" t="n">
        <v>0</v>
      </c>
      <c r="N292" s="227" t="n">
        <v>0</v>
      </c>
      <c r="O292" s="227" t="n">
        <v>0</v>
      </c>
      <c r="Q292" s="227" t="n">
        <v>0</v>
      </c>
      <c r="R292" s="227" t="n">
        <v>0</v>
      </c>
      <c r="S292" s="227" t="n">
        <v>0</v>
      </c>
      <c r="T292" s="227" t="n">
        <v>0</v>
      </c>
      <c r="U292" s="227" t="n">
        <v>0</v>
      </c>
      <c r="V292" s="227" t="n">
        <v>0</v>
      </c>
      <c r="AB292" s="227" t="n">
        <v>0</v>
      </c>
      <c r="AC292" s="227" t="n">
        <v>0</v>
      </c>
      <c r="AD292" s="226" t="n">
        <v>0</v>
      </c>
      <c r="AE292" s="227" t="n">
        <v>0</v>
      </c>
      <c r="AG292" s="227" t="n">
        <v>0</v>
      </c>
      <c r="AH292" s="227" t="n">
        <v>0</v>
      </c>
      <c r="AI292" s="227" t="n">
        <v>-0.2</v>
      </c>
      <c r="AJ292" s="227" t="n">
        <v>0</v>
      </c>
    </row>
    <row r="293" customFormat="false" ht="12.75" hidden="false" customHeight="false" outlineLevel="0" collapsed="false">
      <c r="D293" s="226" t="n">
        <v>45901</v>
      </c>
      <c r="E293" s="227" t="n">
        <v>0.0567325140820798</v>
      </c>
      <c r="H293" s="227" t="n">
        <v>0</v>
      </c>
      <c r="I293" s="227" t="n">
        <v>0</v>
      </c>
      <c r="K293" s="227" t="n">
        <v>-0.07</v>
      </c>
      <c r="L293" s="227" t="n">
        <v>0</v>
      </c>
      <c r="N293" s="227" t="n">
        <v>0</v>
      </c>
      <c r="O293" s="227" t="n">
        <v>0</v>
      </c>
      <c r="Q293" s="227" t="n">
        <v>0</v>
      </c>
      <c r="R293" s="227" t="n">
        <v>0</v>
      </c>
      <c r="S293" s="227" t="n">
        <v>0</v>
      </c>
      <c r="T293" s="227" t="n">
        <v>0</v>
      </c>
      <c r="U293" s="227" t="n">
        <v>0</v>
      </c>
      <c r="V293" s="227" t="n">
        <v>0</v>
      </c>
      <c r="AB293" s="227" t="n">
        <v>0</v>
      </c>
      <c r="AC293" s="227" t="n">
        <v>0</v>
      </c>
      <c r="AD293" s="226" t="n">
        <v>0</v>
      </c>
      <c r="AE293" s="227" t="n">
        <v>0</v>
      </c>
      <c r="AG293" s="227" t="n">
        <v>0</v>
      </c>
      <c r="AH293" s="227" t="n">
        <v>0</v>
      </c>
      <c r="AI293" s="227" t="n">
        <v>-0.2</v>
      </c>
      <c r="AJ293" s="227" t="n">
        <v>0</v>
      </c>
    </row>
    <row r="294" customFormat="false" ht="12.75" hidden="false" customHeight="false" outlineLevel="0" collapsed="false">
      <c r="D294" s="226" t="n">
        <v>45931</v>
      </c>
      <c r="E294" s="227" t="n">
        <v>0.0567344904965426</v>
      </c>
      <c r="H294" s="227" t="n">
        <v>0</v>
      </c>
      <c r="I294" s="227" t="n">
        <v>0</v>
      </c>
      <c r="K294" s="227" t="n">
        <v>-0.07</v>
      </c>
      <c r="L294" s="227" t="n">
        <v>0</v>
      </c>
      <c r="N294" s="227" t="n">
        <v>0</v>
      </c>
      <c r="O294" s="227" t="n">
        <v>0</v>
      </c>
      <c r="Q294" s="227" t="n">
        <v>0</v>
      </c>
      <c r="R294" s="227" t="n">
        <v>0</v>
      </c>
      <c r="S294" s="227" t="n">
        <v>0</v>
      </c>
      <c r="T294" s="227" t="n">
        <v>0</v>
      </c>
      <c r="U294" s="227" t="n">
        <v>0</v>
      </c>
      <c r="V294" s="227" t="n">
        <v>0</v>
      </c>
      <c r="AB294" s="227" t="n">
        <v>0</v>
      </c>
      <c r="AC294" s="227" t="n">
        <v>0</v>
      </c>
      <c r="AD294" s="226" t="n">
        <v>0</v>
      </c>
      <c r="AE294" s="227" t="n">
        <v>0</v>
      </c>
      <c r="AG294" s="227" t="n">
        <v>0</v>
      </c>
      <c r="AH294" s="227" t="n">
        <v>0</v>
      </c>
      <c r="AI294" s="227" t="n">
        <v>-0.2</v>
      </c>
      <c r="AJ294" s="227" t="n">
        <v>0</v>
      </c>
    </row>
    <row r="295" customFormat="false" ht="12.75" hidden="false" customHeight="false" outlineLevel="0" collapsed="false">
      <c r="D295" s="226" t="n">
        <v>45962</v>
      </c>
      <c r="E295" s="227" t="n">
        <v>0.0567365327914882</v>
      </c>
      <c r="H295" s="227" t="n">
        <v>0</v>
      </c>
      <c r="I295" s="227" t="n">
        <v>0</v>
      </c>
      <c r="K295" s="227" t="n">
        <v>-0.07</v>
      </c>
      <c r="L295" s="227" t="n">
        <v>0</v>
      </c>
      <c r="N295" s="227" t="n">
        <v>0</v>
      </c>
      <c r="O295" s="227" t="n">
        <v>0</v>
      </c>
      <c r="Q295" s="227" t="n">
        <v>0</v>
      </c>
      <c r="R295" s="227" t="n">
        <v>0</v>
      </c>
      <c r="S295" s="227" t="n">
        <v>0</v>
      </c>
      <c r="T295" s="227" t="n">
        <v>0</v>
      </c>
      <c r="U295" s="227" t="n">
        <v>0</v>
      </c>
      <c r="V295" s="227" t="n">
        <v>0</v>
      </c>
      <c r="AB295" s="227" t="n">
        <v>0</v>
      </c>
      <c r="AC295" s="227" t="n">
        <v>0</v>
      </c>
      <c r="AD295" s="226" t="n">
        <v>0</v>
      </c>
      <c r="AE295" s="227" t="n">
        <v>0</v>
      </c>
      <c r="AG295" s="227" t="n">
        <v>0</v>
      </c>
      <c r="AH295" s="227" t="n">
        <v>0</v>
      </c>
      <c r="AI295" s="227" t="n">
        <v>-0.2</v>
      </c>
      <c r="AJ295" s="227" t="n">
        <v>0</v>
      </c>
    </row>
    <row r="296" customFormat="false" ht="12.75" hidden="false" customHeight="false" outlineLevel="0" collapsed="false">
      <c r="D296" s="226" t="n">
        <v>45992</v>
      </c>
      <c r="E296" s="227" t="n">
        <v>0.0567385092059527</v>
      </c>
      <c r="H296" s="227" t="n">
        <v>0</v>
      </c>
      <c r="I296" s="227" t="n">
        <v>0</v>
      </c>
      <c r="K296" s="227" t="n">
        <v>-0.07</v>
      </c>
      <c r="L296" s="227" t="n">
        <v>0</v>
      </c>
      <c r="N296" s="227" t="n">
        <v>0</v>
      </c>
      <c r="O296" s="227" t="n">
        <v>0</v>
      </c>
      <c r="Q296" s="227" t="n">
        <v>0</v>
      </c>
      <c r="R296" s="227" t="n">
        <v>0</v>
      </c>
      <c r="S296" s="227" t="n">
        <v>0</v>
      </c>
      <c r="T296" s="227" t="n">
        <v>0</v>
      </c>
      <c r="U296" s="227" t="n">
        <v>0</v>
      </c>
      <c r="V296" s="227" t="n">
        <v>0</v>
      </c>
      <c r="AB296" s="227" t="n">
        <v>0</v>
      </c>
      <c r="AC296" s="227" t="n">
        <v>0</v>
      </c>
      <c r="AD296" s="226" t="n">
        <v>0</v>
      </c>
      <c r="AE296" s="227" t="n">
        <v>0</v>
      </c>
      <c r="AG296" s="227" t="n">
        <v>0</v>
      </c>
      <c r="AH296" s="227" t="n">
        <v>0</v>
      </c>
      <c r="AI296" s="227" t="n">
        <v>-0.2</v>
      </c>
      <c r="AJ296" s="227" t="n">
        <v>0</v>
      </c>
    </row>
    <row r="297" customFormat="false" ht="12.75" hidden="false" customHeight="false" outlineLevel="0" collapsed="false">
      <c r="D297" s="226" t="n">
        <v>46023</v>
      </c>
      <c r="E297" s="227" t="n">
        <v>0.0567405515009018</v>
      </c>
      <c r="H297" s="227" t="n">
        <v>0</v>
      </c>
      <c r="I297" s="227" t="n">
        <v>0</v>
      </c>
      <c r="K297" s="227" t="n">
        <v>-0.07</v>
      </c>
      <c r="L297" s="227" t="n">
        <v>0</v>
      </c>
      <c r="N297" s="227" t="n">
        <v>0</v>
      </c>
      <c r="O297" s="227" t="n">
        <v>0</v>
      </c>
      <c r="Q297" s="227" t="n">
        <v>0</v>
      </c>
      <c r="R297" s="227" t="n">
        <v>0</v>
      </c>
      <c r="S297" s="227" t="n">
        <v>0</v>
      </c>
      <c r="T297" s="227" t="n">
        <v>0</v>
      </c>
      <c r="U297" s="227" t="n">
        <v>0</v>
      </c>
      <c r="V297" s="227" t="n">
        <v>0</v>
      </c>
      <c r="AB297" s="227" t="n">
        <v>0</v>
      </c>
      <c r="AC297" s="227" t="n">
        <v>0</v>
      </c>
      <c r="AD297" s="226" t="n">
        <v>0</v>
      </c>
      <c r="AE297" s="227" t="n">
        <v>0</v>
      </c>
      <c r="AG297" s="227" t="n">
        <v>0</v>
      </c>
      <c r="AH297" s="227" t="n">
        <v>0</v>
      </c>
      <c r="AI297" s="227" t="n">
        <v>-0.2</v>
      </c>
      <c r="AJ297" s="227" t="n">
        <v>0</v>
      </c>
    </row>
    <row r="298" customFormat="false" ht="12.75" hidden="false" customHeight="false" outlineLevel="0" collapsed="false">
      <c r="D298" s="226" t="n">
        <v>46054</v>
      </c>
      <c r="E298" s="227" t="n">
        <v>0.0567425937958514</v>
      </c>
      <c r="H298" s="227" t="n">
        <v>0</v>
      </c>
      <c r="I298" s="227" t="n">
        <v>0</v>
      </c>
      <c r="K298" s="227" t="n">
        <v>-0.07</v>
      </c>
      <c r="L298" s="227" t="n">
        <v>0</v>
      </c>
      <c r="N298" s="227" t="n">
        <v>0</v>
      </c>
      <c r="O298" s="227" t="n">
        <v>0</v>
      </c>
      <c r="Q298" s="227" t="n">
        <v>0</v>
      </c>
      <c r="R298" s="227" t="n">
        <v>0</v>
      </c>
      <c r="S298" s="227" t="n">
        <v>0</v>
      </c>
      <c r="T298" s="227" t="n">
        <v>0</v>
      </c>
      <c r="U298" s="227" t="n">
        <v>0</v>
      </c>
      <c r="V298" s="227" t="n">
        <v>0</v>
      </c>
      <c r="AB298" s="227" t="n">
        <v>0</v>
      </c>
      <c r="AC298" s="227" t="n">
        <v>0</v>
      </c>
      <c r="AD298" s="226" t="n">
        <v>0</v>
      </c>
      <c r="AE298" s="227" t="n">
        <v>0</v>
      </c>
      <c r="AG298" s="227" t="n">
        <v>0</v>
      </c>
      <c r="AH298" s="227" t="n">
        <v>0</v>
      </c>
      <c r="AI298" s="227" t="n">
        <v>-0.2</v>
      </c>
      <c r="AJ298" s="227" t="n">
        <v>0</v>
      </c>
    </row>
    <row r="299" customFormat="false" ht="12.75" hidden="false" customHeight="false" outlineLevel="0" collapsed="false">
      <c r="D299" s="226" t="n">
        <v>46082</v>
      </c>
      <c r="E299" s="227" t="n">
        <v>0.0567444384493556</v>
      </c>
      <c r="H299" s="227" t="n">
        <v>0</v>
      </c>
      <c r="I299" s="227" t="n">
        <v>0</v>
      </c>
      <c r="K299" s="227" t="n">
        <v>-0.07</v>
      </c>
      <c r="L299" s="227" t="n">
        <v>0</v>
      </c>
      <c r="N299" s="227" t="n">
        <v>0</v>
      </c>
      <c r="O299" s="227" t="n">
        <v>0</v>
      </c>
      <c r="Q299" s="227" t="n">
        <v>0</v>
      </c>
      <c r="R299" s="227" t="n">
        <v>0</v>
      </c>
      <c r="S299" s="227" t="n">
        <v>0</v>
      </c>
      <c r="T299" s="227" t="n">
        <v>0</v>
      </c>
      <c r="U299" s="227" t="n">
        <v>0</v>
      </c>
      <c r="V299" s="227" t="n">
        <v>0</v>
      </c>
      <c r="AB299" s="227" t="n">
        <v>0</v>
      </c>
      <c r="AC299" s="227" t="n">
        <v>0</v>
      </c>
      <c r="AD299" s="226" t="n">
        <v>0</v>
      </c>
      <c r="AE299" s="227" t="n">
        <v>0</v>
      </c>
      <c r="AG299" s="227" t="n">
        <v>0</v>
      </c>
      <c r="AH299" s="227" t="n">
        <v>0</v>
      </c>
      <c r="AI299" s="227" t="n">
        <v>-0.2</v>
      </c>
      <c r="AJ299" s="227" t="n">
        <v>0</v>
      </c>
    </row>
    <row r="300" customFormat="false" ht="12.75" hidden="false" customHeight="false" outlineLevel="0" collapsed="false">
      <c r="D300" s="226" t="n">
        <v>46113</v>
      </c>
      <c r="E300" s="227" t="n">
        <v>0.0567464807443079</v>
      </c>
      <c r="H300" s="227" t="n">
        <v>0</v>
      </c>
      <c r="I300" s="227" t="n">
        <v>0</v>
      </c>
      <c r="K300" s="227" t="n">
        <v>-0.07</v>
      </c>
      <c r="L300" s="227" t="n">
        <v>0</v>
      </c>
      <c r="N300" s="227" t="n">
        <v>0</v>
      </c>
      <c r="O300" s="227" t="n">
        <v>0</v>
      </c>
      <c r="Q300" s="227" t="n">
        <v>0</v>
      </c>
      <c r="R300" s="227" t="n">
        <v>0</v>
      </c>
      <c r="S300" s="227" t="n">
        <v>0</v>
      </c>
      <c r="T300" s="227" t="n">
        <v>0</v>
      </c>
      <c r="U300" s="227" t="n">
        <v>0</v>
      </c>
      <c r="V300" s="227" t="n">
        <v>0</v>
      </c>
      <c r="AB300" s="227" t="n">
        <v>0</v>
      </c>
      <c r="AC300" s="227" t="n">
        <v>0</v>
      </c>
      <c r="AD300" s="226" t="n">
        <v>0</v>
      </c>
      <c r="AE300" s="227" t="n">
        <v>0</v>
      </c>
      <c r="AG300" s="227" t="n">
        <v>0</v>
      </c>
      <c r="AH300" s="227" t="n">
        <v>0</v>
      </c>
      <c r="AI300" s="227" t="n">
        <v>-0.2</v>
      </c>
      <c r="AJ300" s="227" t="n">
        <v>0</v>
      </c>
    </row>
    <row r="301" customFormat="false" ht="12.75" hidden="false" customHeight="false" outlineLevel="0" collapsed="false">
      <c r="D301" s="226" t="n">
        <v>46143</v>
      </c>
      <c r="E301" s="227" t="n">
        <v>0.05674845715878</v>
      </c>
      <c r="H301" s="227" t="n">
        <v>0</v>
      </c>
      <c r="I301" s="227" t="n">
        <v>0</v>
      </c>
      <c r="K301" s="227" t="n">
        <v>-0.07</v>
      </c>
      <c r="L301" s="227" t="n">
        <v>0</v>
      </c>
      <c r="N301" s="227" t="n">
        <v>0</v>
      </c>
      <c r="O301" s="227" t="n">
        <v>0</v>
      </c>
      <c r="Q301" s="227" t="n">
        <v>0</v>
      </c>
      <c r="R301" s="227" t="n">
        <v>0</v>
      </c>
      <c r="S301" s="227" t="n">
        <v>0</v>
      </c>
      <c r="T301" s="227" t="n">
        <v>0</v>
      </c>
      <c r="U301" s="227" t="n">
        <v>0</v>
      </c>
      <c r="V301" s="227" t="n">
        <v>0</v>
      </c>
      <c r="AB301" s="227" t="n">
        <v>0</v>
      </c>
      <c r="AC301" s="227" t="n">
        <v>0</v>
      </c>
      <c r="AD301" s="226" t="n">
        <v>0</v>
      </c>
      <c r="AE301" s="227" t="n">
        <v>0</v>
      </c>
      <c r="AG301" s="227" t="n">
        <v>0</v>
      </c>
      <c r="AH301" s="227" t="n">
        <v>0</v>
      </c>
      <c r="AI301" s="227" t="n">
        <v>-0.2</v>
      </c>
      <c r="AJ301" s="227" t="n">
        <v>0</v>
      </c>
    </row>
    <row r="302" customFormat="false" ht="12.75" hidden="false" customHeight="false" outlineLevel="0" collapsed="false">
      <c r="D302" s="226" t="n">
        <v>46174</v>
      </c>
      <c r="E302" s="227" t="n">
        <v>0.0567504994537349</v>
      </c>
      <c r="H302" s="227" t="n">
        <v>0</v>
      </c>
      <c r="I302" s="227" t="n">
        <v>0</v>
      </c>
      <c r="K302" s="227" t="n">
        <v>-0.07</v>
      </c>
      <c r="L302" s="227" t="n">
        <v>0</v>
      </c>
      <c r="N302" s="227" t="n">
        <v>0</v>
      </c>
      <c r="O302" s="227" t="n">
        <v>0</v>
      </c>
      <c r="Q302" s="227" t="n">
        <v>0</v>
      </c>
      <c r="R302" s="227" t="n">
        <v>0</v>
      </c>
      <c r="S302" s="227" t="n">
        <v>0</v>
      </c>
      <c r="T302" s="227" t="n">
        <v>0</v>
      </c>
      <c r="U302" s="227" t="n">
        <v>0</v>
      </c>
      <c r="V302" s="227" t="n">
        <v>0</v>
      </c>
      <c r="AB302" s="227" t="n">
        <v>0</v>
      </c>
      <c r="AC302" s="227" t="n">
        <v>0</v>
      </c>
      <c r="AD302" s="226" t="n">
        <v>0</v>
      </c>
      <c r="AE302" s="227" t="n">
        <v>0</v>
      </c>
      <c r="AG302" s="227" t="n">
        <v>0</v>
      </c>
      <c r="AH302" s="227" t="n">
        <v>0</v>
      </c>
      <c r="AI302" s="227" t="n">
        <v>-0.2</v>
      </c>
      <c r="AJ302" s="227" t="n">
        <v>0</v>
      </c>
    </row>
    <row r="303" customFormat="false" ht="12.75" hidden="false" customHeight="false" outlineLevel="0" collapsed="false">
      <c r="D303" s="226" t="n">
        <v>46204</v>
      </c>
      <c r="E303" s="227" t="n">
        <v>0.0567524758682092</v>
      </c>
      <c r="H303" s="227" t="n">
        <v>0</v>
      </c>
      <c r="I303" s="227" t="n">
        <v>0</v>
      </c>
      <c r="K303" s="227" t="n">
        <v>-0.07</v>
      </c>
      <c r="L303" s="227" t="n">
        <v>0</v>
      </c>
      <c r="N303" s="227" t="n">
        <v>0</v>
      </c>
      <c r="O303" s="227" t="n">
        <v>0</v>
      </c>
      <c r="Q303" s="227" t="n">
        <v>0</v>
      </c>
      <c r="R303" s="227" t="n">
        <v>0</v>
      </c>
      <c r="S303" s="227" t="n">
        <v>0</v>
      </c>
      <c r="T303" s="227" t="n">
        <v>0</v>
      </c>
      <c r="U303" s="227" t="n">
        <v>0</v>
      </c>
      <c r="V303" s="227" t="n">
        <v>0</v>
      </c>
      <c r="AB303" s="227" t="n">
        <v>0</v>
      </c>
      <c r="AC303" s="227" t="n">
        <v>0</v>
      </c>
      <c r="AD303" s="226" t="n">
        <v>0</v>
      </c>
      <c r="AE303" s="227" t="n">
        <v>0</v>
      </c>
      <c r="AG303" s="227" t="n">
        <v>0</v>
      </c>
      <c r="AH303" s="227" t="n">
        <v>0</v>
      </c>
      <c r="AI303" s="227" t="n">
        <v>-0.2</v>
      </c>
      <c r="AJ303" s="227" t="n">
        <v>0</v>
      </c>
    </row>
    <row r="304" customFormat="false" ht="12.75" hidden="false" customHeight="false" outlineLevel="0" collapsed="false">
      <c r="D304" s="226" t="n">
        <v>46235</v>
      </c>
      <c r="E304" s="227" t="n">
        <v>0.0567545181631672</v>
      </c>
      <c r="H304" s="227" t="n">
        <v>0</v>
      </c>
      <c r="I304" s="227" t="n">
        <v>0</v>
      </c>
      <c r="K304" s="227" t="n">
        <v>-0.07</v>
      </c>
      <c r="L304" s="227" t="n">
        <v>0</v>
      </c>
      <c r="N304" s="227" t="n">
        <v>0</v>
      </c>
      <c r="O304" s="227" t="n">
        <v>0</v>
      </c>
      <c r="Q304" s="227" t="n">
        <v>0</v>
      </c>
      <c r="R304" s="227" t="n">
        <v>0</v>
      </c>
      <c r="S304" s="227" t="n">
        <v>0</v>
      </c>
      <c r="T304" s="227" t="n">
        <v>0</v>
      </c>
      <c r="U304" s="227" t="n">
        <v>0</v>
      </c>
      <c r="V304" s="227" t="n">
        <v>0</v>
      </c>
      <c r="AB304" s="227" t="n">
        <v>0</v>
      </c>
      <c r="AC304" s="227" t="n">
        <v>0</v>
      </c>
      <c r="AD304" s="226" t="n">
        <v>0</v>
      </c>
      <c r="AE304" s="227" t="n">
        <v>0</v>
      </c>
      <c r="AG304" s="227" t="n">
        <v>0</v>
      </c>
      <c r="AH304" s="227" t="n">
        <v>0</v>
      </c>
      <c r="AI304" s="227" t="n">
        <v>-0.2</v>
      </c>
      <c r="AJ304" s="227" t="n">
        <v>0</v>
      </c>
    </row>
    <row r="305" customFormat="false" ht="12.75" hidden="false" customHeight="false" outlineLevel="0" collapsed="false">
      <c r="D305" s="226" t="n">
        <v>46266</v>
      </c>
      <c r="E305" s="227" t="n">
        <v>0.0567565604581266</v>
      </c>
      <c r="H305" s="227" t="n">
        <v>0</v>
      </c>
      <c r="I305" s="227" t="n">
        <v>0</v>
      </c>
      <c r="K305" s="227" t="n">
        <v>-0.07</v>
      </c>
      <c r="L305" s="227" t="n">
        <v>0</v>
      </c>
      <c r="N305" s="227" t="n">
        <v>0</v>
      </c>
      <c r="O305" s="227" t="n">
        <v>0</v>
      </c>
      <c r="Q305" s="227" t="n">
        <v>0</v>
      </c>
      <c r="R305" s="227" t="n">
        <v>0</v>
      </c>
      <c r="S305" s="227" t="n">
        <v>0</v>
      </c>
      <c r="T305" s="227" t="n">
        <v>0</v>
      </c>
      <c r="U305" s="227" t="n">
        <v>0</v>
      </c>
      <c r="V305" s="227" t="n">
        <v>0</v>
      </c>
      <c r="AB305" s="227" t="n">
        <v>0</v>
      </c>
      <c r="AC305" s="227" t="n">
        <v>0</v>
      </c>
      <c r="AD305" s="226" t="n">
        <v>0</v>
      </c>
      <c r="AE305" s="227" t="n">
        <v>0</v>
      </c>
      <c r="AG305" s="227" t="n">
        <v>0</v>
      </c>
      <c r="AH305" s="227" t="n">
        <v>0</v>
      </c>
      <c r="AI305" s="227" t="n">
        <v>-0.2</v>
      </c>
      <c r="AJ305" s="227" t="n">
        <v>0</v>
      </c>
    </row>
    <row r="306" customFormat="false" ht="12.75" hidden="false" customHeight="false" outlineLevel="0" collapsed="false">
      <c r="D306" s="226" t="n">
        <v>46296</v>
      </c>
      <c r="E306" s="227" t="n">
        <v>0.0567585368726045</v>
      </c>
      <c r="H306" s="227" t="n">
        <v>0</v>
      </c>
      <c r="I306" s="227" t="n">
        <v>0</v>
      </c>
      <c r="K306" s="227" t="n">
        <v>-0.07</v>
      </c>
      <c r="L306" s="227" t="n">
        <v>0</v>
      </c>
      <c r="N306" s="227" t="n">
        <v>0</v>
      </c>
      <c r="O306" s="227" t="n">
        <v>0</v>
      </c>
      <c r="Q306" s="227" t="n">
        <v>0</v>
      </c>
      <c r="R306" s="227" t="n">
        <v>0</v>
      </c>
      <c r="S306" s="227" t="n">
        <v>0</v>
      </c>
      <c r="T306" s="227" t="n">
        <v>0</v>
      </c>
      <c r="U306" s="227" t="n">
        <v>0</v>
      </c>
      <c r="V306" s="227" t="n">
        <v>0</v>
      </c>
      <c r="AB306" s="227" t="n">
        <v>0</v>
      </c>
      <c r="AC306" s="227" t="n">
        <v>0</v>
      </c>
      <c r="AD306" s="226" t="n">
        <v>0</v>
      </c>
      <c r="AE306" s="227" t="n">
        <v>0</v>
      </c>
      <c r="AG306" s="227" t="n">
        <v>0</v>
      </c>
      <c r="AH306" s="227" t="n">
        <v>0</v>
      </c>
      <c r="AI306" s="227" t="n">
        <v>-0.2</v>
      </c>
      <c r="AJ306" s="227" t="n">
        <v>0</v>
      </c>
    </row>
    <row r="307" customFormat="false" ht="12.75" hidden="false" customHeight="false" outlineLevel="0" collapsed="false">
      <c r="D307" s="226" t="n">
        <v>46327</v>
      </c>
      <c r="E307" s="227" t="n">
        <v>0.0567605791675669</v>
      </c>
      <c r="H307" s="227" t="n">
        <v>0</v>
      </c>
      <c r="I307" s="227" t="n">
        <v>0</v>
      </c>
      <c r="K307" s="227" t="n">
        <v>-0.07</v>
      </c>
      <c r="L307" s="227" t="n">
        <v>0</v>
      </c>
      <c r="N307" s="227" t="n">
        <v>0</v>
      </c>
      <c r="O307" s="227" t="n">
        <v>0</v>
      </c>
      <c r="Q307" s="227" t="n">
        <v>0</v>
      </c>
      <c r="R307" s="227" t="n">
        <v>0</v>
      </c>
      <c r="S307" s="227" t="n">
        <v>0</v>
      </c>
      <c r="T307" s="227" t="n">
        <v>0</v>
      </c>
      <c r="U307" s="227" t="n">
        <v>0</v>
      </c>
      <c r="V307" s="227" t="n">
        <v>0</v>
      </c>
      <c r="AB307" s="227" t="n">
        <v>0</v>
      </c>
      <c r="AC307" s="227" t="n">
        <v>0</v>
      </c>
      <c r="AD307" s="226" t="n">
        <v>0</v>
      </c>
      <c r="AE307" s="227" t="n">
        <v>0</v>
      </c>
      <c r="AG307" s="227" t="n">
        <v>0</v>
      </c>
      <c r="AH307" s="227" t="n">
        <v>0</v>
      </c>
      <c r="AI307" s="227" t="n">
        <v>-0.2</v>
      </c>
      <c r="AJ307" s="227" t="n">
        <v>0</v>
      </c>
    </row>
    <row r="308" customFormat="false" ht="12.75" hidden="false" customHeight="false" outlineLevel="0" collapsed="false">
      <c r="D308" s="226" t="n">
        <v>46357</v>
      </c>
      <c r="E308" s="227" t="n">
        <v>0.0567625555820475</v>
      </c>
      <c r="H308" s="227" t="n">
        <v>0</v>
      </c>
      <c r="I308" s="227" t="n">
        <v>0</v>
      </c>
      <c r="K308" s="227" t="n">
        <v>-0.07</v>
      </c>
      <c r="L308" s="227" t="n">
        <v>0</v>
      </c>
      <c r="N308" s="227" t="n">
        <v>0</v>
      </c>
      <c r="O308" s="227" t="n">
        <v>0</v>
      </c>
      <c r="Q308" s="227" t="n">
        <v>0</v>
      </c>
      <c r="R308" s="227" t="n">
        <v>0</v>
      </c>
      <c r="S308" s="227" t="n">
        <v>0</v>
      </c>
      <c r="T308" s="227" t="n">
        <v>0</v>
      </c>
      <c r="U308" s="227" t="n">
        <v>0</v>
      </c>
      <c r="V308" s="227" t="n">
        <v>0</v>
      </c>
      <c r="AB308" s="227" t="n">
        <v>0</v>
      </c>
      <c r="AC308" s="227" t="n">
        <v>0</v>
      </c>
      <c r="AD308" s="226" t="n">
        <v>0</v>
      </c>
      <c r="AE308" s="227" t="n">
        <v>0</v>
      </c>
      <c r="AG308" s="227" t="n">
        <v>0</v>
      </c>
      <c r="AH308" s="227" t="n">
        <v>0</v>
      </c>
      <c r="AI308" s="227" t="n">
        <v>-0.2</v>
      </c>
      <c r="AJ308" s="227" t="n">
        <v>0</v>
      </c>
    </row>
    <row r="309" customFormat="false" ht="12.75" hidden="false" customHeight="false" outlineLevel="0" collapsed="false">
      <c r="D309" s="226" t="n">
        <v>46388</v>
      </c>
      <c r="E309" s="227" t="n">
        <v>0.0567645978770122</v>
      </c>
      <c r="H309" s="227" t="n">
        <v>0</v>
      </c>
      <c r="I309" s="227" t="n">
        <v>0</v>
      </c>
      <c r="K309" s="227" t="n">
        <v>-0.07</v>
      </c>
      <c r="L309" s="227" t="n">
        <v>0</v>
      </c>
      <c r="N309" s="227" t="n">
        <v>0</v>
      </c>
      <c r="O309" s="227" t="n">
        <v>0</v>
      </c>
      <c r="Q309" s="227" t="n">
        <v>0</v>
      </c>
      <c r="R309" s="227" t="n">
        <v>0</v>
      </c>
      <c r="S309" s="227" t="n">
        <v>0</v>
      </c>
      <c r="T309" s="227" t="n">
        <v>0</v>
      </c>
      <c r="U309" s="227" t="n">
        <v>0</v>
      </c>
      <c r="V309" s="227" t="n">
        <v>0</v>
      </c>
      <c r="AB309" s="227" t="n">
        <v>0</v>
      </c>
      <c r="AC309" s="227" t="n">
        <v>0</v>
      </c>
      <c r="AD309" s="226" t="n">
        <v>0</v>
      </c>
      <c r="AE309" s="227" t="n">
        <v>0</v>
      </c>
      <c r="AG309" s="227" t="n">
        <v>0</v>
      </c>
      <c r="AH309" s="227" t="n">
        <v>0</v>
      </c>
      <c r="AI309" s="227" t="n">
        <v>-0.2</v>
      </c>
      <c r="AJ309" s="227" t="n">
        <v>0</v>
      </c>
    </row>
    <row r="310" customFormat="false" ht="12.75" hidden="false" customHeight="false" outlineLevel="0" collapsed="false">
      <c r="D310" s="226" t="n">
        <v>46419</v>
      </c>
      <c r="E310" s="227" t="n">
        <v>0.0567666401719786</v>
      </c>
      <c r="H310" s="227" t="n">
        <v>0</v>
      </c>
      <c r="I310" s="227" t="n">
        <v>0</v>
      </c>
      <c r="K310" s="227" t="n">
        <v>-0.07</v>
      </c>
      <c r="L310" s="227" t="n">
        <v>0</v>
      </c>
      <c r="N310" s="227" t="n">
        <v>0</v>
      </c>
      <c r="O310" s="227" t="n">
        <v>0</v>
      </c>
      <c r="Q310" s="227" t="n">
        <v>0</v>
      </c>
      <c r="R310" s="227" t="n">
        <v>0</v>
      </c>
      <c r="S310" s="227" t="n">
        <v>0</v>
      </c>
      <c r="T310" s="227" t="n">
        <v>0</v>
      </c>
      <c r="U310" s="227" t="n">
        <v>0</v>
      </c>
      <c r="V310" s="227" t="n">
        <v>0</v>
      </c>
      <c r="AB310" s="227" t="n">
        <v>0</v>
      </c>
      <c r="AC310" s="227" t="n">
        <v>0</v>
      </c>
      <c r="AD310" s="226" t="n">
        <v>0</v>
      </c>
      <c r="AE310" s="227" t="n">
        <v>0</v>
      </c>
      <c r="AG310" s="227" t="n">
        <v>0</v>
      </c>
      <c r="AH310" s="227" t="n">
        <v>0</v>
      </c>
      <c r="AI310" s="227" t="n">
        <v>-0.2</v>
      </c>
      <c r="AJ310" s="227" t="n">
        <v>0</v>
      </c>
    </row>
    <row r="311" customFormat="false" ht="12.75" hidden="false" customHeight="false" outlineLevel="0" collapsed="false">
      <c r="D311" s="226" t="n">
        <v>46447</v>
      </c>
      <c r="E311" s="227" t="n">
        <v>0.0567684848254979</v>
      </c>
      <c r="H311" s="227" t="n">
        <v>0</v>
      </c>
      <c r="I311" s="227" t="n">
        <v>0</v>
      </c>
      <c r="K311" s="227" t="n">
        <v>-0.07</v>
      </c>
      <c r="L311" s="227" t="n">
        <v>0</v>
      </c>
      <c r="N311" s="227" t="n">
        <v>0</v>
      </c>
      <c r="O311" s="227" t="n">
        <v>0</v>
      </c>
      <c r="Q311" s="227" t="n">
        <v>0</v>
      </c>
      <c r="R311" s="227" t="n">
        <v>0</v>
      </c>
      <c r="S311" s="227" t="n">
        <v>0</v>
      </c>
      <c r="T311" s="227" t="n">
        <v>0</v>
      </c>
      <c r="U311" s="227" t="n">
        <v>0</v>
      </c>
      <c r="V311" s="227" t="n">
        <v>0</v>
      </c>
      <c r="AB311" s="227" t="n">
        <v>0</v>
      </c>
      <c r="AC311" s="227" t="n">
        <v>0</v>
      </c>
      <c r="AD311" s="226" t="n">
        <v>0</v>
      </c>
      <c r="AE311" s="227" t="n">
        <v>0</v>
      </c>
      <c r="AG311" s="227" t="n">
        <v>0</v>
      </c>
      <c r="AH311" s="227" t="n">
        <v>0</v>
      </c>
      <c r="AI311" s="227" t="n">
        <v>-0.2</v>
      </c>
      <c r="AJ311" s="227" t="n">
        <v>0</v>
      </c>
    </row>
    <row r="312" customFormat="false" ht="12.75" hidden="false" customHeight="false" outlineLevel="0" collapsed="false">
      <c r="D312" s="226" t="n">
        <v>46478</v>
      </c>
      <c r="E312" s="227" t="n">
        <v>0.0567705271204666</v>
      </c>
      <c r="H312" s="227" t="n">
        <v>0</v>
      </c>
      <c r="I312" s="227" t="n">
        <v>0</v>
      </c>
      <c r="K312" s="227" t="n">
        <v>-0.07</v>
      </c>
      <c r="L312" s="227" t="n">
        <v>0</v>
      </c>
      <c r="N312" s="227" t="n">
        <v>0</v>
      </c>
      <c r="O312" s="227" t="n">
        <v>0</v>
      </c>
      <c r="Q312" s="227" t="n">
        <v>0</v>
      </c>
      <c r="R312" s="227" t="n">
        <v>0</v>
      </c>
      <c r="S312" s="227" t="n">
        <v>0</v>
      </c>
      <c r="T312" s="227" t="n">
        <v>0</v>
      </c>
      <c r="U312" s="227" t="n">
        <v>0</v>
      </c>
      <c r="V312" s="227" t="n">
        <v>0</v>
      </c>
      <c r="AB312" s="227" t="n">
        <v>0</v>
      </c>
      <c r="AC312" s="227" t="n">
        <v>0</v>
      </c>
      <c r="AD312" s="226" t="n">
        <v>0</v>
      </c>
      <c r="AE312" s="227" t="n">
        <v>0</v>
      </c>
      <c r="AG312" s="227" t="n">
        <v>0</v>
      </c>
      <c r="AH312" s="227" t="n">
        <v>0</v>
      </c>
      <c r="AI312" s="227" t="n">
        <v>-0.2</v>
      </c>
      <c r="AJ312" s="227" t="n">
        <v>0</v>
      </c>
    </row>
    <row r="313" customFormat="false" ht="12.75" hidden="false" customHeight="false" outlineLevel="0" collapsed="false">
      <c r="D313" s="226" t="n">
        <v>46508</v>
      </c>
      <c r="E313" s="227" t="n">
        <v>0.0567725035349538</v>
      </c>
      <c r="H313" s="227" t="n">
        <v>0</v>
      </c>
      <c r="I313" s="227" t="n">
        <v>0</v>
      </c>
      <c r="K313" s="227" t="n">
        <v>-0.07</v>
      </c>
      <c r="L313" s="227" t="n">
        <v>0</v>
      </c>
      <c r="N313" s="227" t="n">
        <v>0</v>
      </c>
      <c r="O313" s="227" t="n">
        <v>0</v>
      </c>
      <c r="Q313" s="227" t="n">
        <v>0</v>
      </c>
      <c r="R313" s="227" t="n">
        <v>0</v>
      </c>
      <c r="S313" s="227" t="n">
        <v>0</v>
      </c>
      <c r="T313" s="227" t="n">
        <v>0</v>
      </c>
      <c r="U313" s="227" t="n">
        <v>0</v>
      </c>
      <c r="V313" s="227" t="n">
        <v>0</v>
      </c>
      <c r="AB313" s="227" t="n">
        <v>0</v>
      </c>
      <c r="AC313" s="227" t="n">
        <v>0</v>
      </c>
      <c r="AD313" s="226" t="n">
        <v>0</v>
      </c>
      <c r="AE313" s="227" t="n">
        <v>0</v>
      </c>
      <c r="AG313" s="227" t="n">
        <v>0</v>
      </c>
      <c r="AH313" s="227" t="n">
        <v>0</v>
      </c>
      <c r="AI313" s="227" t="n">
        <v>-0.2</v>
      </c>
      <c r="AJ313" s="227" t="n">
        <v>0</v>
      </c>
    </row>
    <row r="314" customFormat="false" ht="12.75" hidden="false" customHeight="false" outlineLevel="0" collapsed="false">
      <c r="D314" s="226" t="n">
        <v>46539</v>
      </c>
      <c r="E314" s="227" t="n">
        <v>0.0567745458299256</v>
      </c>
      <c r="H314" s="227" t="n">
        <v>0</v>
      </c>
      <c r="I314" s="227" t="n">
        <v>0</v>
      </c>
      <c r="K314" s="227" t="n">
        <v>-0.07</v>
      </c>
      <c r="L314" s="227" t="n">
        <v>0</v>
      </c>
      <c r="N314" s="227" t="n">
        <v>0</v>
      </c>
      <c r="O314" s="227" t="n">
        <v>0</v>
      </c>
      <c r="Q314" s="227" t="n">
        <v>0</v>
      </c>
      <c r="R314" s="227" t="n">
        <v>0</v>
      </c>
      <c r="S314" s="227" t="n">
        <v>0</v>
      </c>
      <c r="T314" s="227" t="n">
        <v>0</v>
      </c>
      <c r="U314" s="227" t="n">
        <v>0</v>
      </c>
      <c r="V314" s="227" t="n">
        <v>0</v>
      </c>
      <c r="AB314" s="227" t="n">
        <v>0</v>
      </c>
      <c r="AC314" s="227" t="n">
        <v>0</v>
      </c>
      <c r="AD314" s="226" t="n">
        <v>0</v>
      </c>
      <c r="AE314" s="227" t="n">
        <v>0</v>
      </c>
      <c r="AG314" s="227" t="n">
        <v>0</v>
      </c>
      <c r="AH314" s="227" t="n">
        <v>0</v>
      </c>
      <c r="AI314" s="227" t="n">
        <v>-0.2</v>
      </c>
      <c r="AJ314" s="227" t="n">
        <v>0</v>
      </c>
    </row>
    <row r="315" customFormat="false" ht="12.75" hidden="false" customHeight="false" outlineLevel="0" collapsed="false">
      <c r="D315" s="226" t="n">
        <v>46569</v>
      </c>
      <c r="E315" s="227" t="n">
        <v>0.0567765222444154</v>
      </c>
      <c r="H315" s="227" t="n">
        <v>0</v>
      </c>
      <c r="I315" s="227" t="n">
        <v>0</v>
      </c>
      <c r="K315" s="227" t="n">
        <v>-0.07</v>
      </c>
      <c r="L315" s="227" t="n">
        <v>0</v>
      </c>
      <c r="N315" s="227" t="n">
        <v>0</v>
      </c>
      <c r="O315" s="227" t="n">
        <v>0</v>
      </c>
      <c r="Q315" s="227" t="n">
        <v>0</v>
      </c>
      <c r="R315" s="227" t="n">
        <v>0</v>
      </c>
      <c r="S315" s="227" t="n">
        <v>0</v>
      </c>
      <c r="T315" s="227" t="n">
        <v>0</v>
      </c>
      <c r="U315" s="227" t="n">
        <v>0</v>
      </c>
      <c r="V315" s="227" t="n">
        <v>0</v>
      </c>
      <c r="AB315" s="227" t="n">
        <v>0</v>
      </c>
      <c r="AC315" s="227" t="n">
        <v>0</v>
      </c>
      <c r="AD315" s="226" t="n">
        <v>0</v>
      </c>
      <c r="AE315" s="227" t="n">
        <v>0</v>
      </c>
      <c r="AG315" s="227" t="n">
        <v>0</v>
      </c>
      <c r="AH315" s="227" t="n">
        <v>0</v>
      </c>
      <c r="AI315" s="227" t="n">
        <v>-0.2</v>
      </c>
      <c r="AJ315" s="227" t="n">
        <v>0</v>
      </c>
    </row>
    <row r="316" customFormat="false" ht="12.75" hidden="false" customHeight="false" outlineLevel="0" collapsed="false">
      <c r="D316" s="226" t="n">
        <v>46600</v>
      </c>
      <c r="E316" s="227" t="n">
        <v>0.0567785645393894</v>
      </c>
      <c r="H316" s="227" t="n">
        <v>0</v>
      </c>
      <c r="I316" s="227" t="n">
        <v>0</v>
      </c>
      <c r="K316" s="227" t="n">
        <v>-0.07</v>
      </c>
      <c r="L316" s="227" t="n">
        <v>0</v>
      </c>
      <c r="N316" s="227" t="n">
        <v>0</v>
      </c>
      <c r="O316" s="227" t="n">
        <v>0</v>
      </c>
      <c r="Q316" s="227" t="n">
        <v>0</v>
      </c>
      <c r="R316" s="227" t="n">
        <v>0</v>
      </c>
      <c r="S316" s="227" t="n">
        <v>0</v>
      </c>
      <c r="T316" s="227" t="n">
        <v>0</v>
      </c>
      <c r="U316" s="227" t="n">
        <v>0</v>
      </c>
      <c r="V316" s="227" t="n">
        <v>0</v>
      </c>
      <c r="AB316" s="227" t="n">
        <v>0</v>
      </c>
      <c r="AC316" s="227" t="n">
        <v>0</v>
      </c>
      <c r="AD316" s="226" t="n">
        <v>0</v>
      </c>
      <c r="AE316" s="227" t="n">
        <v>0</v>
      </c>
      <c r="AG316" s="227" t="n">
        <v>0</v>
      </c>
      <c r="AH316" s="227" t="n">
        <v>0</v>
      </c>
      <c r="AI316" s="227" t="n">
        <v>-0.2</v>
      </c>
      <c r="AJ316" s="227" t="n">
        <v>0</v>
      </c>
    </row>
    <row r="317" customFormat="false" ht="12.75" hidden="false" customHeight="false" outlineLevel="0" collapsed="false">
      <c r="D317" s="226" t="n">
        <v>46631</v>
      </c>
      <c r="E317" s="227" t="n">
        <v>0.0567806068343657</v>
      </c>
      <c r="H317" s="227" t="n">
        <v>0</v>
      </c>
      <c r="I317" s="227" t="n">
        <v>0</v>
      </c>
      <c r="K317" s="227" t="n">
        <v>-0.07</v>
      </c>
      <c r="L317" s="227" t="n">
        <v>0</v>
      </c>
      <c r="N317" s="227" t="n">
        <v>0</v>
      </c>
      <c r="O317" s="227" t="n">
        <v>0</v>
      </c>
      <c r="Q317" s="227" t="n">
        <v>0</v>
      </c>
      <c r="R317" s="227" t="n">
        <v>0</v>
      </c>
      <c r="S317" s="227" t="n">
        <v>0</v>
      </c>
      <c r="T317" s="227" t="n">
        <v>0</v>
      </c>
      <c r="U317" s="227" t="n">
        <v>0</v>
      </c>
      <c r="V317" s="227" t="n">
        <v>0</v>
      </c>
      <c r="AB317" s="227" t="n">
        <v>0</v>
      </c>
      <c r="AC317" s="227" t="n">
        <v>0</v>
      </c>
      <c r="AD317" s="226" t="n">
        <v>0</v>
      </c>
      <c r="AE317" s="227" t="n">
        <v>0</v>
      </c>
      <c r="AG317" s="227" t="n">
        <v>0</v>
      </c>
      <c r="AH317" s="227" t="n">
        <v>0</v>
      </c>
      <c r="AI317" s="227" t="n">
        <v>-0.2</v>
      </c>
      <c r="AJ317" s="227" t="n">
        <v>0</v>
      </c>
    </row>
    <row r="318" customFormat="false" ht="12.75" hidden="false" customHeight="false" outlineLevel="0" collapsed="false">
      <c r="D318" s="226" t="n">
        <v>46661</v>
      </c>
      <c r="E318" s="227" t="n">
        <v>0.0567825832488595</v>
      </c>
      <c r="H318" s="227" t="n">
        <v>0</v>
      </c>
      <c r="I318" s="227" t="n">
        <v>0</v>
      </c>
      <c r="K318" s="227" t="n">
        <v>-0.07</v>
      </c>
      <c r="L318" s="227" t="n">
        <v>0</v>
      </c>
      <c r="N318" s="227" t="n">
        <v>0</v>
      </c>
      <c r="O318" s="227" t="n">
        <v>0</v>
      </c>
      <c r="Q318" s="227" t="n">
        <v>0</v>
      </c>
      <c r="R318" s="227" t="n">
        <v>0</v>
      </c>
      <c r="S318" s="227" t="n">
        <v>0</v>
      </c>
      <c r="T318" s="227" t="n">
        <v>0</v>
      </c>
      <c r="U318" s="227" t="n">
        <v>0</v>
      </c>
      <c r="V318" s="227" t="n">
        <v>0</v>
      </c>
      <c r="AB318" s="227" t="n">
        <v>0</v>
      </c>
      <c r="AC318" s="227" t="n">
        <v>0</v>
      </c>
      <c r="AD318" s="226" t="n">
        <v>0</v>
      </c>
      <c r="AE318" s="227" t="n">
        <v>0</v>
      </c>
      <c r="AG318" s="227" t="n">
        <v>0</v>
      </c>
      <c r="AH318" s="227" t="n">
        <v>0</v>
      </c>
      <c r="AI318" s="227" t="n">
        <v>-0.2</v>
      </c>
      <c r="AJ318" s="227" t="n">
        <v>0</v>
      </c>
    </row>
    <row r="319" customFormat="false" ht="12.75" hidden="false" customHeight="false" outlineLevel="0" collapsed="false">
      <c r="D319" s="226" t="n">
        <v>46692</v>
      </c>
      <c r="E319" s="227" t="n">
        <v>0.0567846255438376</v>
      </c>
      <c r="H319" s="227" t="n">
        <v>0</v>
      </c>
      <c r="I319" s="227" t="n">
        <v>0</v>
      </c>
      <c r="K319" s="227" t="n">
        <v>-0.07</v>
      </c>
      <c r="L319" s="227" t="n">
        <v>0</v>
      </c>
      <c r="N319" s="227" t="n">
        <v>0</v>
      </c>
      <c r="O319" s="227" t="n">
        <v>0</v>
      </c>
      <c r="Q319" s="227" t="n">
        <v>0</v>
      </c>
      <c r="R319" s="227" t="n">
        <v>0</v>
      </c>
      <c r="S319" s="227" t="n">
        <v>0</v>
      </c>
      <c r="T319" s="227" t="n">
        <v>0</v>
      </c>
      <c r="U319" s="227" t="n">
        <v>0</v>
      </c>
      <c r="V319" s="227" t="n">
        <v>0</v>
      </c>
      <c r="AB319" s="227" t="n">
        <v>0</v>
      </c>
      <c r="AC319" s="227" t="n">
        <v>0</v>
      </c>
      <c r="AD319" s="226" t="n">
        <v>0</v>
      </c>
      <c r="AE319" s="227" t="n">
        <v>0</v>
      </c>
      <c r="AG319" s="227" t="n">
        <v>0</v>
      </c>
      <c r="AH319" s="227" t="n">
        <v>0</v>
      </c>
      <c r="AI319" s="227" t="n">
        <v>-0.2</v>
      </c>
      <c r="AJ319" s="227" t="n">
        <v>0</v>
      </c>
    </row>
    <row r="320" customFormat="false" ht="12.75" hidden="false" customHeight="false" outlineLevel="0" collapsed="false">
      <c r="D320" s="226" t="n">
        <v>46722</v>
      </c>
      <c r="E320" s="227" t="n">
        <v>0.0567866019583345</v>
      </c>
      <c r="H320" s="227" t="n">
        <v>0</v>
      </c>
      <c r="I320" s="227" t="n">
        <v>0</v>
      </c>
      <c r="K320" s="227" t="n">
        <v>-0.07</v>
      </c>
      <c r="L320" s="227" t="n">
        <v>0</v>
      </c>
      <c r="N320" s="227" t="n">
        <v>0</v>
      </c>
      <c r="O320" s="227" t="n">
        <v>0</v>
      </c>
      <c r="Q320" s="227" t="n">
        <v>0</v>
      </c>
      <c r="R320" s="227" t="n">
        <v>0</v>
      </c>
      <c r="S320" s="227" t="n">
        <v>0</v>
      </c>
      <c r="T320" s="227" t="n">
        <v>0</v>
      </c>
      <c r="U320" s="227" t="n">
        <v>0</v>
      </c>
      <c r="V320" s="227" t="n">
        <v>0</v>
      </c>
      <c r="AB320" s="227" t="n">
        <v>0</v>
      </c>
      <c r="AC320" s="227" t="n">
        <v>0</v>
      </c>
      <c r="AD320" s="226" t="n">
        <v>0</v>
      </c>
      <c r="AE320" s="227" t="n">
        <v>0</v>
      </c>
      <c r="AG320" s="227" t="n">
        <v>0</v>
      </c>
      <c r="AH320" s="227" t="n">
        <v>0</v>
      </c>
      <c r="AI320" s="227" t="n">
        <v>-0.2</v>
      </c>
      <c r="AJ320" s="227" t="n">
        <v>0</v>
      </c>
    </row>
    <row r="321" customFormat="false" ht="12.75" hidden="false" customHeight="false" outlineLevel="0" collapsed="false">
      <c r="D321" s="226" t="n">
        <v>46753</v>
      </c>
      <c r="E321" s="227" t="n">
        <v>0.0567886442533156</v>
      </c>
      <c r="H321" s="227" t="n">
        <v>0</v>
      </c>
      <c r="I321" s="227" t="n">
        <v>0</v>
      </c>
      <c r="K321" s="227" t="n">
        <v>-0.07</v>
      </c>
      <c r="L321" s="227" t="n">
        <v>0</v>
      </c>
      <c r="N321" s="227" t="n">
        <v>0</v>
      </c>
      <c r="O321" s="227" t="n">
        <v>0</v>
      </c>
      <c r="Q321" s="227" t="n">
        <v>0</v>
      </c>
      <c r="R321" s="227" t="n">
        <v>0</v>
      </c>
      <c r="S321" s="227" t="n">
        <v>0</v>
      </c>
      <c r="T321" s="227" t="n">
        <v>0</v>
      </c>
      <c r="U321" s="227" t="n">
        <v>0</v>
      </c>
      <c r="V321" s="227" t="n">
        <v>0</v>
      </c>
      <c r="AB321" s="227" t="n">
        <v>0</v>
      </c>
      <c r="AC321" s="227" t="n">
        <v>0</v>
      </c>
      <c r="AD321" s="226" t="n">
        <v>0</v>
      </c>
      <c r="AE321" s="227" t="n">
        <v>0</v>
      </c>
      <c r="AG321" s="227" t="n">
        <v>0</v>
      </c>
      <c r="AH321" s="227" t="n">
        <v>0</v>
      </c>
      <c r="AI321" s="227" t="n">
        <v>-0.2</v>
      </c>
      <c r="AJ321" s="227" t="n">
        <v>0</v>
      </c>
    </row>
    <row r="322" customFormat="false" ht="12.75" hidden="false" customHeight="false" outlineLevel="0" collapsed="false">
      <c r="D322" s="226" t="n">
        <v>46784</v>
      </c>
      <c r="E322" s="227" t="n">
        <v>0.0567906865482986</v>
      </c>
      <c r="H322" s="227" t="n">
        <v>0</v>
      </c>
      <c r="I322" s="227" t="n">
        <v>0</v>
      </c>
      <c r="K322" s="227" t="n">
        <v>-0.07</v>
      </c>
      <c r="L322" s="227" t="n">
        <v>0</v>
      </c>
      <c r="N322" s="227" t="n">
        <v>0</v>
      </c>
      <c r="O322" s="227" t="n">
        <v>0</v>
      </c>
      <c r="Q322" s="227" t="n">
        <v>0</v>
      </c>
      <c r="R322" s="227" t="n">
        <v>0</v>
      </c>
      <c r="S322" s="227" t="n">
        <v>0</v>
      </c>
      <c r="T322" s="227" t="n">
        <v>0</v>
      </c>
      <c r="U322" s="227" t="n">
        <v>0</v>
      </c>
      <c r="V322" s="227" t="n">
        <v>0</v>
      </c>
      <c r="AB322" s="227" t="n">
        <v>0</v>
      </c>
      <c r="AC322" s="227" t="n">
        <v>0</v>
      </c>
      <c r="AD322" s="226" t="n">
        <v>0</v>
      </c>
      <c r="AE322" s="227" t="n">
        <v>0</v>
      </c>
      <c r="AG322" s="227" t="n">
        <v>0</v>
      </c>
      <c r="AH322" s="227" t="n">
        <v>0</v>
      </c>
      <c r="AI322" s="227" t="n">
        <v>-0.2</v>
      </c>
      <c r="AJ322" s="227" t="n">
        <v>0</v>
      </c>
    </row>
    <row r="323" customFormat="false" ht="12.75" hidden="false" customHeight="false" outlineLevel="0" collapsed="false">
      <c r="D323" s="226" t="n">
        <v>46813</v>
      </c>
      <c r="E323" s="227" t="n">
        <v>0.0567925970823158</v>
      </c>
      <c r="H323" s="227" t="n">
        <v>0</v>
      </c>
      <c r="I323" s="227" t="n">
        <v>0</v>
      </c>
      <c r="K323" s="227" t="n">
        <v>-0.07</v>
      </c>
      <c r="L323" s="227" t="n">
        <v>0</v>
      </c>
      <c r="N323" s="227" t="n">
        <v>0</v>
      </c>
      <c r="O323" s="227" t="n">
        <v>0</v>
      </c>
      <c r="Q323" s="227" t="n">
        <v>0</v>
      </c>
      <c r="R323" s="227" t="n">
        <v>0</v>
      </c>
      <c r="S323" s="227" t="n">
        <v>0</v>
      </c>
      <c r="T323" s="227" t="n">
        <v>0</v>
      </c>
      <c r="U323" s="227" t="n">
        <v>0</v>
      </c>
      <c r="V323" s="227" t="n">
        <v>0</v>
      </c>
      <c r="AB323" s="227" t="n">
        <v>0</v>
      </c>
      <c r="AC323" s="227" t="n">
        <v>0</v>
      </c>
      <c r="AD323" s="226" t="n">
        <v>0</v>
      </c>
      <c r="AE323" s="227" t="n">
        <v>0</v>
      </c>
      <c r="AG323" s="227" t="n">
        <v>0</v>
      </c>
      <c r="AH323" s="227" t="n">
        <v>0</v>
      </c>
      <c r="AI323" s="227" t="n">
        <v>-0.2</v>
      </c>
      <c r="AJ323" s="227" t="n">
        <v>0</v>
      </c>
    </row>
    <row r="324" customFormat="false" ht="12.75" hidden="false" customHeight="false" outlineLevel="0" collapsed="false">
      <c r="D324" s="226" t="n">
        <v>46844</v>
      </c>
      <c r="E324" s="227" t="n">
        <v>0.0567946393773009</v>
      </c>
      <c r="H324" s="227" t="n">
        <v>0</v>
      </c>
      <c r="I324" s="227" t="n">
        <v>0</v>
      </c>
      <c r="K324" s="227" t="n">
        <v>-0.07</v>
      </c>
      <c r="L324" s="227" t="n">
        <v>0</v>
      </c>
      <c r="N324" s="227" t="n">
        <v>0</v>
      </c>
      <c r="O324" s="227" t="n">
        <v>0</v>
      </c>
      <c r="Q324" s="227" t="n">
        <v>0</v>
      </c>
      <c r="R324" s="227" t="n">
        <v>0</v>
      </c>
      <c r="S324" s="227" t="n">
        <v>0</v>
      </c>
      <c r="T324" s="227" t="n">
        <v>0</v>
      </c>
      <c r="U324" s="227" t="n">
        <v>0</v>
      </c>
      <c r="V324" s="227" t="n">
        <v>0</v>
      </c>
      <c r="AB324" s="227" t="n">
        <v>0</v>
      </c>
      <c r="AC324" s="227" t="n">
        <v>0</v>
      </c>
      <c r="AD324" s="226" t="n">
        <v>0</v>
      </c>
      <c r="AE324" s="227" t="n">
        <v>0</v>
      </c>
      <c r="AG324" s="227" t="n">
        <v>0</v>
      </c>
      <c r="AH324" s="227" t="n">
        <v>0</v>
      </c>
      <c r="AI324" s="227" t="n">
        <v>-0.2</v>
      </c>
      <c r="AJ324" s="227" t="n">
        <v>0</v>
      </c>
    </row>
    <row r="325" customFormat="false" ht="12.75" hidden="false" customHeight="false" outlineLevel="0" collapsed="false">
      <c r="D325" s="226" t="n">
        <v>46874</v>
      </c>
      <c r="E325" s="227" t="n">
        <v>0.0567966157918041</v>
      </c>
      <c r="H325" s="227" t="n">
        <v>0</v>
      </c>
      <c r="I325" s="227" t="n">
        <v>0</v>
      </c>
      <c r="K325" s="227" t="n">
        <v>-0.07</v>
      </c>
      <c r="L325" s="227" t="n">
        <v>0</v>
      </c>
      <c r="N325" s="227" t="n">
        <v>0</v>
      </c>
      <c r="O325" s="227" t="n">
        <v>0</v>
      </c>
      <c r="Q325" s="227" t="n">
        <v>0</v>
      </c>
      <c r="R325" s="227" t="n">
        <v>0</v>
      </c>
      <c r="S325" s="227" t="n">
        <v>0</v>
      </c>
      <c r="T325" s="227" t="n">
        <v>0</v>
      </c>
      <c r="U325" s="227" t="n">
        <v>0</v>
      </c>
      <c r="V325" s="227" t="n">
        <v>0</v>
      </c>
      <c r="AB325" s="227" t="n">
        <v>0</v>
      </c>
      <c r="AC325" s="227" t="n">
        <v>0</v>
      </c>
      <c r="AD325" s="226" t="n">
        <v>0</v>
      </c>
      <c r="AE325" s="227" t="n">
        <v>0</v>
      </c>
      <c r="AG325" s="227" t="n">
        <v>0</v>
      </c>
      <c r="AH325" s="227" t="n">
        <v>0</v>
      </c>
      <c r="AI325" s="227" t="n">
        <v>-0.2</v>
      </c>
      <c r="AJ325" s="227" t="n">
        <v>0</v>
      </c>
    </row>
    <row r="326" customFormat="false" ht="12.75" hidden="false" customHeight="false" outlineLevel="0" collapsed="false">
      <c r="D326" s="226" t="n">
        <v>46905</v>
      </c>
      <c r="E326" s="227" t="n">
        <v>0.0567986580867923</v>
      </c>
      <c r="H326" s="227" t="n">
        <v>0</v>
      </c>
      <c r="I326" s="227" t="n">
        <v>0</v>
      </c>
      <c r="K326" s="227" t="n">
        <v>-0.07</v>
      </c>
      <c r="L326" s="227" t="n">
        <v>0</v>
      </c>
      <c r="N326" s="227" t="n">
        <v>0</v>
      </c>
      <c r="O326" s="227" t="n">
        <v>0</v>
      </c>
      <c r="Q326" s="227" t="n">
        <v>0</v>
      </c>
      <c r="R326" s="227" t="n">
        <v>0</v>
      </c>
      <c r="S326" s="227" t="n">
        <v>0</v>
      </c>
      <c r="T326" s="227" t="n">
        <v>0</v>
      </c>
      <c r="U326" s="227" t="n">
        <v>0</v>
      </c>
      <c r="V326" s="227" t="n">
        <v>0</v>
      </c>
      <c r="AB326" s="227" t="n">
        <v>0</v>
      </c>
      <c r="AC326" s="227" t="n">
        <v>0</v>
      </c>
      <c r="AD326" s="226" t="n">
        <v>0</v>
      </c>
      <c r="AE326" s="227" t="n">
        <v>0</v>
      </c>
      <c r="AG326" s="227" t="n">
        <v>0</v>
      </c>
      <c r="AH326" s="227" t="n">
        <v>0</v>
      </c>
      <c r="AI326" s="227" t="n">
        <v>-0.2</v>
      </c>
      <c r="AJ326" s="227" t="n">
        <v>0</v>
      </c>
    </row>
    <row r="327" customFormat="false" ht="12.75" hidden="false" customHeight="false" outlineLevel="0" collapsed="false">
      <c r="D327" s="226" t="n">
        <v>46935</v>
      </c>
      <c r="E327" s="227" t="n">
        <v>0.0568006345012977</v>
      </c>
      <c r="H327" s="227" t="n">
        <v>0</v>
      </c>
      <c r="I327" s="227" t="n">
        <v>0</v>
      </c>
      <c r="K327" s="227" t="n">
        <v>-0.07</v>
      </c>
      <c r="L327" s="227" t="n">
        <v>0</v>
      </c>
      <c r="N327" s="227" t="n">
        <v>0</v>
      </c>
      <c r="O327" s="227" t="n">
        <v>0</v>
      </c>
      <c r="Q327" s="227" t="n">
        <v>0</v>
      </c>
      <c r="R327" s="227" t="n">
        <v>0</v>
      </c>
      <c r="S327" s="227" t="n">
        <v>0</v>
      </c>
      <c r="T327" s="227" t="n">
        <v>0</v>
      </c>
      <c r="U327" s="227" t="n">
        <v>0</v>
      </c>
      <c r="V327" s="227" t="n">
        <v>0</v>
      </c>
      <c r="AB327" s="227" t="n">
        <v>0</v>
      </c>
      <c r="AC327" s="227" t="n">
        <v>0</v>
      </c>
      <c r="AD327" s="226" t="n">
        <v>0</v>
      </c>
      <c r="AE327" s="227" t="n">
        <v>0</v>
      </c>
      <c r="AG327" s="227" t="n">
        <v>0</v>
      </c>
      <c r="AH327" s="227" t="n">
        <v>0</v>
      </c>
      <c r="AI327" s="227" t="n">
        <v>-0.2</v>
      </c>
      <c r="AJ327" s="227" t="n">
        <v>0</v>
      </c>
    </row>
    <row r="328" customFormat="false" ht="12.75" hidden="false" customHeight="false" outlineLevel="0" collapsed="false">
      <c r="D328" s="226" t="n">
        <v>46966</v>
      </c>
      <c r="E328" s="227" t="n">
        <v>0.0568026767962886</v>
      </c>
      <c r="H328" s="227" t="n">
        <v>0</v>
      </c>
      <c r="I328" s="227" t="n">
        <v>0</v>
      </c>
      <c r="K328" s="227" t="n">
        <v>-0.07</v>
      </c>
      <c r="L328" s="227" t="n">
        <v>0</v>
      </c>
      <c r="N328" s="227" t="n">
        <v>0</v>
      </c>
      <c r="O328" s="227" t="n">
        <v>0</v>
      </c>
      <c r="Q328" s="227" t="n">
        <v>0</v>
      </c>
      <c r="R328" s="227" t="n">
        <v>0</v>
      </c>
      <c r="S328" s="227" t="n">
        <v>0</v>
      </c>
      <c r="T328" s="227" t="n">
        <v>0</v>
      </c>
      <c r="U328" s="227" t="n">
        <v>0</v>
      </c>
      <c r="V328" s="227" t="n">
        <v>0</v>
      </c>
      <c r="AB328" s="227" t="n">
        <v>0</v>
      </c>
      <c r="AC328" s="227" t="n">
        <v>0</v>
      </c>
      <c r="AD328" s="226" t="n">
        <v>0</v>
      </c>
      <c r="AE328" s="227" t="n">
        <v>0</v>
      </c>
      <c r="AG328" s="227" t="n">
        <v>0</v>
      </c>
      <c r="AH328" s="227" t="n">
        <v>0</v>
      </c>
      <c r="AI328" s="227" t="n">
        <v>-0.2</v>
      </c>
      <c r="AJ328" s="227" t="n">
        <v>0</v>
      </c>
    </row>
    <row r="329" customFormat="false" ht="12.75" hidden="false" customHeight="false" outlineLevel="0" collapsed="false">
      <c r="D329" s="226" t="n">
        <v>46997</v>
      </c>
      <c r="E329" s="227" t="n">
        <v>0.0568047190912808</v>
      </c>
      <c r="H329" s="227" t="n">
        <v>0</v>
      </c>
      <c r="I329" s="227" t="n">
        <v>0</v>
      </c>
      <c r="K329" s="227" t="n">
        <v>-0.07</v>
      </c>
      <c r="L329" s="227" t="n">
        <v>0</v>
      </c>
      <c r="N329" s="227" t="n">
        <v>0</v>
      </c>
      <c r="O329" s="227" t="n">
        <v>0</v>
      </c>
      <c r="Q329" s="227" t="n">
        <v>0</v>
      </c>
      <c r="R329" s="227" t="n">
        <v>0</v>
      </c>
      <c r="S329" s="227" t="n">
        <v>0</v>
      </c>
      <c r="T329" s="227" t="n">
        <v>0</v>
      </c>
      <c r="U329" s="227" t="n">
        <v>0</v>
      </c>
      <c r="V329" s="227" t="n">
        <v>0</v>
      </c>
      <c r="AB329" s="227" t="n">
        <v>0</v>
      </c>
      <c r="AC329" s="227" t="n">
        <v>0</v>
      </c>
      <c r="AD329" s="226" t="n">
        <v>0</v>
      </c>
      <c r="AE329" s="227" t="n">
        <v>0</v>
      </c>
      <c r="AG329" s="227" t="n">
        <v>0</v>
      </c>
      <c r="AH329" s="227" t="n">
        <v>0</v>
      </c>
      <c r="AI329" s="227" t="n">
        <v>-0.2</v>
      </c>
      <c r="AJ329" s="227" t="n">
        <v>0</v>
      </c>
    </row>
    <row r="330" customFormat="false" ht="12.75" hidden="false" customHeight="false" outlineLevel="0" collapsed="false">
      <c r="D330" s="226" t="n">
        <v>47027</v>
      </c>
      <c r="E330" s="227" t="n">
        <v>0.0568066955057906</v>
      </c>
      <c r="H330" s="227" t="n">
        <v>0</v>
      </c>
      <c r="I330" s="227" t="n">
        <v>0</v>
      </c>
      <c r="K330" s="227" t="n">
        <v>-0.07</v>
      </c>
      <c r="L330" s="227" t="n">
        <v>0</v>
      </c>
      <c r="N330" s="227" t="n">
        <v>0</v>
      </c>
      <c r="O330" s="227" t="n">
        <v>0</v>
      </c>
      <c r="Q330" s="227" t="n">
        <v>0</v>
      </c>
      <c r="R330" s="227" t="n">
        <v>0</v>
      </c>
      <c r="S330" s="227" t="n">
        <v>0</v>
      </c>
      <c r="T330" s="227" t="n">
        <v>0</v>
      </c>
      <c r="U330" s="227" t="n">
        <v>0</v>
      </c>
      <c r="V330" s="227" t="n">
        <v>0</v>
      </c>
      <c r="AB330" s="227" t="n">
        <v>0</v>
      </c>
      <c r="AC330" s="227" t="n">
        <v>0</v>
      </c>
      <c r="AD330" s="226" t="n">
        <v>0</v>
      </c>
      <c r="AE330" s="227" t="n">
        <v>0</v>
      </c>
      <c r="AG330" s="227" t="n">
        <v>0</v>
      </c>
      <c r="AH330" s="227" t="n">
        <v>0</v>
      </c>
      <c r="AI330" s="227" t="n">
        <v>-0.2</v>
      </c>
      <c r="AJ330" s="227" t="n">
        <v>0</v>
      </c>
    </row>
    <row r="331" customFormat="false" ht="12.75" hidden="false" customHeight="false" outlineLevel="0" collapsed="false">
      <c r="D331" s="226" t="n">
        <v>47058</v>
      </c>
      <c r="E331" s="227" t="n">
        <v>0.0568087378007851</v>
      </c>
      <c r="H331" s="227" t="n">
        <v>0</v>
      </c>
      <c r="I331" s="227" t="n">
        <v>0</v>
      </c>
      <c r="K331" s="227" t="n">
        <v>-0.07</v>
      </c>
      <c r="L331" s="227" t="n">
        <v>0</v>
      </c>
      <c r="N331" s="227" t="n">
        <v>0</v>
      </c>
      <c r="O331" s="227" t="n">
        <v>0</v>
      </c>
      <c r="Q331" s="227" t="n">
        <v>0</v>
      </c>
      <c r="R331" s="227" t="n">
        <v>0</v>
      </c>
      <c r="S331" s="227" t="n">
        <v>0</v>
      </c>
      <c r="T331" s="227" t="n">
        <v>0</v>
      </c>
      <c r="U331" s="227" t="n">
        <v>0</v>
      </c>
      <c r="V331" s="227" t="n">
        <v>0</v>
      </c>
      <c r="AB331" s="227" t="n">
        <v>0</v>
      </c>
      <c r="AC331" s="227" t="n">
        <v>0</v>
      </c>
      <c r="AD331" s="226" t="n">
        <v>0</v>
      </c>
      <c r="AE331" s="227" t="n">
        <v>0</v>
      </c>
      <c r="AG331" s="227" t="n">
        <v>0</v>
      </c>
      <c r="AH331" s="227" t="n">
        <v>0</v>
      </c>
      <c r="AI331" s="227" t="n">
        <v>-0.2</v>
      </c>
      <c r="AJ331" s="227" t="n">
        <v>0</v>
      </c>
    </row>
    <row r="332" customFormat="false" ht="12.75" hidden="false" customHeight="false" outlineLevel="0" collapsed="false">
      <c r="D332" s="226" t="n">
        <v>47088</v>
      </c>
      <c r="E332" s="227" t="n">
        <v>0.056810714215298</v>
      </c>
      <c r="H332" s="227" t="n">
        <v>0</v>
      </c>
      <c r="I332" s="227" t="n">
        <v>0</v>
      </c>
      <c r="K332" s="227" t="n">
        <v>-0.07</v>
      </c>
      <c r="L332" s="227" t="n">
        <v>0</v>
      </c>
      <c r="N332" s="227" t="n">
        <v>0</v>
      </c>
      <c r="O332" s="227" t="n">
        <v>0</v>
      </c>
      <c r="Q332" s="227" t="n">
        <v>0</v>
      </c>
      <c r="R332" s="227" t="n">
        <v>0</v>
      </c>
      <c r="S332" s="227" t="n">
        <v>0</v>
      </c>
      <c r="T332" s="227" t="n">
        <v>0</v>
      </c>
      <c r="U332" s="227" t="n">
        <v>0</v>
      </c>
      <c r="V332" s="227" t="n">
        <v>0</v>
      </c>
      <c r="AB332" s="227" t="n">
        <v>0</v>
      </c>
      <c r="AC332" s="227" t="n">
        <v>0</v>
      </c>
      <c r="AD332" s="226" t="n">
        <v>0</v>
      </c>
      <c r="AE332" s="227" t="n">
        <v>0</v>
      </c>
      <c r="AG332" s="227" t="n">
        <v>0</v>
      </c>
      <c r="AH332" s="227" t="n">
        <v>0</v>
      </c>
      <c r="AI332" s="227" t="n">
        <v>-0.2</v>
      </c>
      <c r="AJ332" s="227" t="n">
        <v>0</v>
      </c>
    </row>
    <row r="333" customFormat="false" ht="12.75" hidden="false" customHeight="false" outlineLevel="0" collapsed="false">
      <c r="D333" s="226" t="n">
        <v>47119</v>
      </c>
      <c r="E333" s="227" t="n">
        <v>0.0568127565102952</v>
      </c>
      <c r="H333" s="227" t="n">
        <v>0</v>
      </c>
      <c r="I333" s="227" t="n">
        <v>0</v>
      </c>
      <c r="K333" s="227" t="n">
        <v>-0.07</v>
      </c>
      <c r="L333" s="227" t="n">
        <v>0</v>
      </c>
      <c r="N333" s="227" t="n">
        <v>0</v>
      </c>
      <c r="O333" s="227" t="n">
        <v>0</v>
      </c>
      <c r="Q333" s="227" t="n">
        <v>0</v>
      </c>
      <c r="R333" s="227" t="n">
        <v>0</v>
      </c>
      <c r="S333" s="227" t="n">
        <v>0</v>
      </c>
      <c r="T333" s="227" t="n">
        <v>0</v>
      </c>
      <c r="U333" s="227" t="n">
        <v>0</v>
      </c>
      <c r="V333" s="227" t="n">
        <v>0</v>
      </c>
      <c r="AB333" s="227" t="n">
        <v>0</v>
      </c>
      <c r="AC333" s="227" t="n">
        <v>0</v>
      </c>
      <c r="AD333" s="226" t="n">
        <v>0</v>
      </c>
      <c r="AE333" s="227" t="n">
        <v>0</v>
      </c>
      <c r="AG333" s="227" t="n">
        <v>0</v>
      </c>
      <c r="AH333" s="227" t="n">
        <v>0</v>
      </c>
      <c r="AI333" s="227" t="n">
        <v>-0.2</v>
      </c>
      <c r="AJ333" s="227" t="n">
        <v>0</v>
      </c>
    </row>
    <row r="334" customFormat="false" ht="12.75" hidden="false" customHeight="false" outlineLevel="0" collapsed="false">
      <c r="D334" s="226" t="n">
        <v>47150</v>
      </c>
      <c r="E334" s="227" t="n">
        <v>0.056814798805294</v>
      </c>
      <c r="H334" s="227" t="n">
        <v>0</v>
      </c>
      <c r="I334" s="227" t="n">
        <v>0</v>
      </c>
      <c r="K334" s="227" t="n">
        <v>-0.07</v>
      </c>
      <c r="L334" s="227" t="n">
        <v>0</v>
      </c>
      <c r="N334" s="227" t="n">
        <v>0</v>
      </c>
      <c r="O334" s="227" t="n">
        <v>0</v>
      </c>
      <c r="Q334" s="227" t="n">
        <v>0</v>
      </c>
      <c r="R334" s="227" t="n">
        <v>0</v>
      </c>
      <c r="S334" s="227" t="n">
        <v>0</v>
      </c>
      <c r="T334" s="227" t="n">
        <v>0</v>
      </c>
      <c r="U334" s="227" t="n">
        <v>0</v>
      </c>
      <c r="V334" s="227" t="n">
        <v>0</v>
      </c>
      <c r="AB334" s="227" t="n">
        <v>0</v>
      </c>
      <c r="AC334" s="227" t="n">
        <v>0</v>
      </c>
      <c r="AD334" s="226" t="n">
        <v>0</v>
      </c>
      <c r="AE334" s="227" t="n">
        <v>0</v>
      </c>
      <c r="AG334" s="227" t="n">
        <v>0</v>
      </c>
      <c r="AH334" s="227" t="n">
        <v>0</v>
      </c>
      <c r="AI334" s="227" t="n">
        <v>-0.2</v>
      </c>
      <c r="AJ334" s="227" t="n">
        <v>0</v>
      </c>
    </row>
    <row r="335" customFormat="false" ht="12.75" hidden="false" customHeight="false" outlineLevel="0" collapsed="false">
      <c r="D335" s="226" t="n">
        <v>47178</v>
      </c>
      <c r="E335" s="227" t="n">
        <v>0.0568166434588426</v>
      </c>
      <c r="H335" s="227" t="n">
        <v>0</v>
      </c>
      <c r="I335" s="227" t="n">
        <v>0</v>
      </c>
      <c r="K335" s="227" t="n">
        <v>-0.07</v>
      </c>
      <c r="L335" s="227" t="n">
        <v>0</v>
      </c>
      <c r="N335" s="227" t="n">
        <v>0</v>
      </c>
      <c r="O335" s="227" t="n">
        <v>0</v>
      </c>
      <c r="Q335" s="227" t="n">
        <v>0</v>
      </c>
      <c r="R335" s="227" t="n">
        <v>0</v>
      </c>
      <c r="S335" s="227" t="n">
        <v>0</v>
      </c>
      <c r="T335" s="227" t="n">
        <v>0</v>
      </c>
      <c r="U335" s="227" t="n">
        <v>0</v>
      </c>
      <c r="V335" s="227" t="n">
        <v>0</v>
      </c>
      <c r="AB335" s="227" t="n">
        <v>0</v>
      </c>
      <c r="AC335" s="227" t="n">
        <v>0</v>
      </c>
      <c r="AD335" s="226" t="n">
        <v>0</v>
      </c>
      <c r="AE335" s="227" t="n">
        <v>0</v>
      </c>
      <c r="AG335" s="227" t="n">
        <v>0</v>
      </c>
      <c r="AH335" s="227" t="n">
        <v>0</v>
      </c>
      <c r="AI335" s="227" t="n">
        <v>-0.2</v>
      </c>
      <c r="AJ335" s="227" t="n">
        <v>0</v>
      </c>
    </row>
    <row r="336" customFormat="false" ht="12.75" hidden="false" customHeight="false" outlineLevel="0" collapsed="false">
      <c r="D336" s="226" t="n">
        <v>47209</v>
      </c>
      <c r="E336" s="227" t="n">
        <v>0.0568186857538446</v>
      </c>
      <c r="H336" s="227" t="n">
        <v>0</v>
      </c>
      <c r="I336" s="227" t="n">
        <v>0</v>
      </c>
      <c r="K336" s="227" t="n">
        <v>-0.07</v>
      </c>
      <c r="L336" s="227" t="n">
        <v>0</v>
      </c>
      <c r="N336" s="227" t="n">
        <v>0</v>
      </c>
      <c r="O336" s="227" t="n">
        <v>0</v>
      </c>
      <c r="Q336" s="227" t="n">
        <v>0</v>
      </c>
      <c r="R336" s="227" t="n">
        <v>0</v>
      </c>
      <c r="S336" s="227" t="n">
        <v>0</v>
      </c>
      <c r="T336" s="227" t="n">
        <v>0</v>
      </c>
      <c r="U336" s="227" t="n">
        <v>0</v>
      </c>
      <c r="V336" s="227" t="n">
        <v>0</v>
      </c>
      <c r="AB336" s="227" t="n">
        <v>0</v>
      </c>
      <c r="AC336" s="227" t="n">
        <v>0</v>
      </c>
      <c r="AD336" s="226" t="n">
        <v>0</v>
      </c>
      <c r="AE336" s="227" t="n">
        <v>0</v>
      </c>
      <c r="AG336" s="227" t="n">
        <v>0</v>
      </c>
      <c r="AH336" s="227" t="n">
        <v>0</v>
      </c>
      <c r="AI336" s="227" t="n">
        <v>-0.2</v>
      </c>
      <c r="AJ336" s="227" t="n">
        <v>0</v>
      </c>
    </row>
    <row r="337" customFormat="false" ht="12.75" hidden="false" customHeight="false" outlineLevel="0" collapsed="false">
      <c r="D337" s="226" t="n">
        <v>47239</v>
      </c>
      <c r="E337" s="227" t="n">
        <v>0.0568206621683638</v>
      </c>
      <c r="H337" s="227" t="n">
        <v>0</v>
      </c>
      <c r="I337" s="227" t="n">
        <v>0</v>
      </c>
      <c r="K337" s="227" t="n">
        <v>-0.07</v>
      </c>
      <c r="L337" s="227" t="n">
        <v>0</v>
      </c>
      <c r="N337" s="227" t="n">
        <v>0</v>
      </c>
      <c r="O337" s="227" t="n">
        <v>0</v>
      </c>
      <c r="Q337" s="227" t="n">
        <v>0</v>
      </c>
      <c r="R337" s="227" t="n">
        <v>0</v>
      </c>
      <c r="S337" s="227" t="n">
        <v>0</v>
      </c>
      <c r="T337" s="227" t="n">
        <v>0</v>
      </c>
      <c r="U337" s="227" t="n">
        <v>0</v>
      </c>
      <c r="V337" s="227" t="n">
        <v>0</v>
      </c>
      <c r="AB337" s="227" t="n">
        <v>0</v>
      </c>
      <c r="AC337" s="227" t="n">
        <v>0</v>
      </c>
      <c r="AD337" s="226" t="n">
        <v>0</v>
      </c>
      <c r="AE337" s="227" t="n">
        <v>0</v>
      </c>
      <c r="AG337" s="227" t="n">
        <v>0</v>
      </c>
      <c r="AH337" s="227" t="n">
        <v>0</v>
      </c>
      <c r="AI337" s="227" t="n">
        <v>-0.2</v>
      </c>
      <c r="AJ337" s="227" t="n">
        <v>0</v>
      </c>
    </row>
    <row r="338" customFormat="false" ht="12.75" hidden="false" customHeight="false" outlineLevel="0" collapsed="false">
      <c r="D338" s="226" t="n">
        <v>47270</v>
      </c>
      <c r="E338" s="227" t="n">
        <v>0.0568227044633676</v>
      </c>
      <c r="H338" s="227" t="n">
        <v>0</v>
      </c>
      <c r="I338" s="227" t="n">
        <v>0</v>
      </c>
      <c r="K338" s="227" t="n">
        <v>-0.07</v>
      </c>
      <c r="L338" s="227" t="n">
        <v>0</v>
      </c>
      <c r="N338" s="227" t="n">
        <v>0</v>
      </c>
      <c r="O338" s="227" t="n">
        <v>0</v>
      </c>
      <c r="Q338" s="227" t="n">
        <v>0</v>
      </c>
      <c r="R338" s="227" t="n">
        <v>0</v>
      </c>
      <c r="S338" s="227" t="n">
        <v>0</v>
      </c>
      <c r="T338" s="227" t="n">
        <v>0</v>
      </c>
      <c r="U338" s="227" t="n">
        <v>0</v>
      </c>
      <c r="V338" s="227" t="n">
        <v>0</v>
      </c>
      <c r="AB338" s="227" t="n">
        <v>0</v>
      </c>
      <c r="AC338" s="227" t="n">
        <v>0</v>
      </c>
      <c r="AD338" s="226" t="n">
        <v>0</v>
      </c>
      <c r="AE338" s="227" t="n">
        <v>0</v>
      </c>
      <c r="AG338" s="227" t="n">
        <v>0</v>
      </c>
      <c r="AH338" s="227" t="n">
        <v>0</v>
      </c>
      <c r="AI338" s="227" t="n">
        <v>-0.2</v>
      </c>
      <c r="AJ338" s="227" t="n">
        <v>0</v>
      </c>
    </row>
    <row r="339" customFormat="false" ht="12.75" hidden="false" customHeight="false" outlineLevel="0" collapsed="false">
      <c r="D339" s="226" t="n">
        <v>47300</v>
      </c>
      <c r="E339" s="227" t="n">
        <v>0.0568246808778898</v>
      </c>
      <c r="H339" s="227" t="n">
        <v>0</v>
      </c>
      <c r="I339" s="227" t="n">
        <v>0</v>
      </c>
      <c r="K339" s="227" t="n">
        <v>-0.07</v>
      </c>
      <c r="L339" s="227" t="n">
        <v>0</v>
      </c>
      <c r="N339" s="227" t="n">
        <v>0</v>
      </c>
      <c r="O339" s="227" t="n">
        <v>0</v>
      </c>
      <c r="Q339" s="227" t="n">
        <v>0</v>
      </c>
      <c r="R339" s="227" t="n">
        <v>0</v>
      </c>
      <c r="S339" s="227" t="n">
        <v>0</v>
      </c>
      <c r="T339" s="227" t="n">
        <v>0</v>
      </c>
      <c r="U339" s="227" t="n">
        <v>0</v>
      </c>
      <c r="V339" s="227" t="n">
        <v>0</v>
      </c>
      <c r="AB339" s="227" t="n">
        <v>0</v>
      </c>
      <c r="AC339" s="227" t="n">
        <v>0</v>
      </c>
      <c r="AD339" s="226" t="n">
        <v>0</v>
      </c>
      <c r="AE339" s="227" t="n">
        <v>0</v>
      </c>
      <c r="AG339" s="227" t="n">
        <v>0</v>
      </c>
      <c r="AH339" s="227" t="n">
        <v>0</v>
      </c>
      <c r="AI339" s="227" t="n">
        <v>-0.2</v>
      </c>
      <c r="AJ339" s="227" t="n">
        <v>0</v>
      </c>
    </row>
    <row r="340" customFormat="false" ht="12.75" hidden="false" customHeight="false" outlineLevel="0" collapsed="false">
      <c r="D340" s="226" t="n">
        <v>47331</v>
      </c>
      <c r="E340" s="227" t="n">
        <v>0.0568267231728967</v>
      </c>
      <c r="H340" s="227" t="n">
        <v>0</v>
      </c>
      <c r="I340" s="227" t="n">
        <v>0</v>
      </c>
      <c r="K340" s="227" t="n">
        <v>-0.07</v>
      </c>
      <c r="L340" s="227" t="n">
        <v>0</v>
      </c>
      <c r="N340" s="227" t="n">
        <v>0</v>
      </c>
      <c r="O340" s="227" t="n">
        <v>0</v>
      </c>
      <c r="Q340" s="227" t="n">
        <v>0</v>
      </c>
      <c r="R340" s="227" t="n">
        <v>0</v>
      </c>
      <c r="S340" s="227" t="n">
        <v>0</v>
      </c>
      <c r="T340" s="227" t="n">
        <v>0</v>
      </c>
      <c r="U340" s="227" t="n">
        <v>0</v>
      </c>
      <c r="V340" s="227" t="n">
        <v>0</v>
      </c>
      <c r="AB340" s="227" t="n">
        <v>0</v>
      </c>
      <c r="AC340" s="227" t="n">
        <v>0</v>
      </c>
      <c r="AD340" s="226" t="n">
        <v>0</v>
      </c>
      <c r="AE340" s="227" t="n">
        <v>0</v>
      </c>
      <c r="AG340" s="227" t="n">
        <v>0</v>
      </c>
      <c r="AH340" s="227" t="n">
        <v>0</v>
      </c>
      <c r="AI340" s="227" t="n">
        <v>-0.2</v>
      </c>
      <c r="AJ340" s="227" t="n">
        <v>0</v>
      </c>
    </row>
    <row r="341" customFormat="false" ht="12.75" hidden="false" customHeight="false" outlineLevel="0" collapsed="false">
      <c r="D341" s="226" t="n">
        <v>47362</v>
      </c>
      <c r="E341" s="227" t="n">
        <v>0.0568287654679049</v>
      </c>
      <c r="H341" s="227" t="n">
        <v>0</v>
      </c>
      <c r="I341" s="227" t="n">
        <v>0</v>
      </c>
      <c r="K341" s="227" t="n">
        <v>-0.07</v>
      </c>
      <c r="L341" s="227" t="n">
        <v>0</v>
      </c>
      <c r="N341" s="227" t="n">
        <v>0</v>
      </c>
      <c r="O341" s="227" t="n">
        <v>0</v>
      </c>
      <c r="Q341" s="227" t="n">
        <v>0</v>
      </c>
      <c r="R341" s="227" t="n">
        <v>0</v>
      </c>
      <c r="S341" s="227" t="n">
        <v>0</v>
      </c>
      <c r="T341" s="227" t="n">
        <v>0</v>
      </c>
      <c r="U341" s="227" t="n">
        <v>0</v>
      </c>
      <c r="V341" s="227" t="n">
        <v>0</v>
      </c>
      <c r="AB341" s="227" t="n">
        <v>0</v>
      </c>
      <c r="AC341" s="227" t="n">
        <v>0</v>
      </c>
      <c r="AD341" s="226" t="n">
        <v>0</v>
      </c>
      <c r="AE341" s="227" t="n">
        <v>0</v>
      </c>
      <c r="AG341" s="227" t="n">
        <v>0</v>
      </c>
      <c r="AH341" s="227" t="n">
        <v>0</v>
      </c>
      <c r="AI341" s="227" t="n">
        <v>-0.2</v>
      </c>
      <c r="AJ341" s="227" t="n">
        <v>0</v>
      </c>
    </row>
    <row r="342" customFormat="false" ht="12.75" hidden="false" customHeight="false" outlineLevel="0" collapsed="false">
      <c r="D342" s="226" t="n">
        <v>47392</v>
      </c>
      <c r="E342" s="227" t="n">
        <v>0.0568307418824308</v>
      </c>
      <c r="H342" s="227" t="n">
        <v>0</v>
      </c>
      <c r="I342" s="227" t="n">
        <v>0</v>
      </c>
      <c r="K342" s="227" t="n">
        <v>-0.07</v>
      </c>
      <c r="L342" s="227" t="n">
        <v>0</v>
      </c>
      <c r="N342" s="227" t="n">
        <v>0</v>
      </c>
      <c r="O342" s="227" t="n">
        <v>0</v>
      </c>
      <c r="Q342" s="227" t="n">
        <v>0</v>
      </c>
      <c r="R342" s="227" t="n">
        <v>0</v>
      </c>
      <c r="S342" s="227" t="n">
        <v>0</v>
      </c>
      <c r="T342" s="227" t="n">
        <v>0</v>
      </c>
      <c r="U342" s="227" t="n">
        <v>0</v>
      </c>
      <c r="V342" s="227" t="n">
        <v>0</v>
      </c>
      <c r="AB342" s="227" t="n">
        <v>0</v>
      </c>
      <c r="AC342" s="227" t="n">
        <v>0</v>
      </c>
      <c r="AD342" s="226" t="n">
        <v>0</v>
      </c>
      <c r="AE342" s="227" t="n">
        <v>0</v>
      </c>
      <c r="AG342" s="227" t="n">
        <v>0</v>
      </c>
      <c r="AH342" s="227" t="n">
        <v>0</v>
      </c>
      <c r="AI342" s="227" t="n">
        <v>-0.2</v>
      </c>
      <c r="AJ342" s="227" t="n">
        <v>0</v>
      </c>
    </row>
    <row r="343" customFormat="false" ht="12.75" hidden="false" customHeight="false" outlineLevel="0" collapsed="false">
      <c r="D343" s="226" t="n">
        <v>47423</v>
      </c>
      <c r="E343" s="227" t="n">
        <v>0.0568327841774416</v>
      </c>
      <c r="H343" s="227" t="n">
        <v>0</v>
      </c>
      <c r="I343" s="227" t="n">
        <v>0</v>
      </c>
      <c r="K343" s="227" t="n">
        <v>-0.07</v>
      </c>
      <c r="L343" s="227" t="n">
        <v>0</v>
      </c>
      <c r="N343" s="227" t="n">
        <v>0</v>
      </c>
      <c r="O343" s="227" t="n">
        <v>0</v>
      </c>
      <c r="Q343" s="227" t="n">
        <v>0</v>
      </c>
      <c r="R343" s="227" t="n">
        <v>0</v>
      </c>
      <c r="S343" s="227" t="n">
        <v>0</v>
      </c>
      <c r="T343" s="227" t="n">
        <v>0</v>
      </c>
      <c r="U343" s="227" t="n">
        <v>0</v>
      </c>
      <c r="V343" s="227" t="n">
        <v>0</v>
      </c>
      <c r="AB343" s="227" t="n">
        <v>0</v>
      </c>
      <c r="AC343" s="227" t="n">
        <v>0</v>
      </c>
      <c r="AD343" s="226" t="n">
        <v>0</v>
      </c>
      <c r="AE343" s="227" t="n">
        <v>0</v>
      </c>
      <c r="AG343" s="227" t="n">
        <v>0</v>
      </c>
      <c r="AH343" s="227" t="n">
        <v>0</v>
      </c>
      <c r="AI343" s="227" t="n">
        <v>-0.2</v>
      </c>
      <c r="AJ343" s="227" t="n">
        <v>0</v>
      </c>
    </row>
    <row r="344" customFormat="false" ht="12.75" hidden="false" customHeight="false" outlineLevel="0" collapsed="false">
      <c r="D344" s="226" t="n">
        <v>47453</v>
      </c>
      <c r="E344" s="227" t="n">
        <v>0.0568347605919701</v>
      </c>
      <c r="H344" s="227" t="n">
        <v>0</v>
      </c>
      <c r="I344" s="227" t="n">
        <v>0</v>
      </c>
      <c r="K344" s="227" t="n">
        <v>-0.07</v>
      </c>
      <c r="L344" s="227" t="n">
        <v>0</v>
      </c>
      <c r="N344" s="227" t="n">
        <v>0</v>
      </c>
      <c r="O344" s="227" t="n">
        <v>0</v>
      </c>
      <c r="Q344" s="227" t="n">
        <v>0</v>
      </c>
      <c r="R344" s="227" t="n">
        <v>0</v>
      </c>
      <c r="S344" s="227" t="n">
        <v>0</v>
      </c>
      <c r="T344" s="227" t="n">
        <v>0</v>
      </c>
      <c r="U344" s="227" t="n">
        <v>0</v>
      </c>
      <c r="V344" s="227" t="n">
        <v>0</v>
      </c>
      <c r="AB344" s="227" t="n">
        <v>0</v>
      </c>
      <c r="AC344" s="227" t="n">
        <v>0</v>
      </c>
      <c r="AD344" s="226" t="n">
        <v>0</v>
      </c>
      <c r="AE344" s="227" t="n">
        <v>0</v>
      </c>
      <c r="AG344" s="227" t="n">
        <v>0</v>
      </c>
      <c r="AH344" s="227" t="n">
        <v>0</v>
      </c>
      <c r="AI344" s="227" t="n">
        <v>-0.2</v>
      </c>
      <c r="AJ344" s="227" t="n">
        <v>0</v>
      </c>
    </row>
    <row r="345" customFormat="false" ht="12.75" hidden="false" customHeight="false" outlineLevel="0" collapsed="false">
      <c r="D345" s="226" t="n">
        <v>47484</v>
      </c>
      <c r="E345" s="227" t="n">
        <v>0.0568368028869841</v>
      </c>
    </row>
    <row r="346" customFormat="false" ht="12.75" hidden="false" customHeight="false" outlineLevel="0" collapsed="false">
      <c r="D346" s="226" t="n">
        <v>47515</v>
      </c>
      <c r="E346" s="227" t="n">
        <v>0.0568388451819994</v>
      </c>
    </row>
    <row r="347" customFormat="false" ht="12.75" hidden="false" customHeight="false" outlineLevel="0" collapsed="false">
      <c r="D347" s="226" t="n">
        <v>47543</v>
      </c>
      <c r="E347" s="227" t="n">
        <v>0.0568406898355627</v>
      </c>
    </row>
    <row r="348" customFormat="false" ht="12.75" hidden="false" customHeight="false" outlineLevel="0" collapsed="false">
      <c r="D348" s="226" t="n">
        <v>47574</v>
      </c>
      <c r="E348" s="227" t="n">
        <v>0.0568427321305807</v>
      </c>
    </row>
    <row r="349" customFormat="false" ht="12.75" hidden="false" customHeight="false" outlineLevel="0" collapsed="false">
      <c r="D349" s="226" t="n">
        <v>47604</v>
      </c>
      <c r="E349" s="227" t="n">
        <v>0.0568447085451158</v>
      </c>
    </row>
    <row r="350" customFormat="false" ht="12.75" hidden="false" customHeight="false" outlineLevel="0" collapsed="false">
      <c r="D350" s="226" t="n">
        <v>47635</v>
      </c>
      <c r="E350" s="227" t="n">
        <v>0.056846750840136</v>
      </c>
    </row>
    <row r="351" customFormat="false" ht="12.75" hidden="false" customHeight="false" outlineLevel="0" collapsed="false">
      <c r="D351" s="226" t="n">
        <v>47665</v>
      </c>
      <c r="E351" s="227" t="n">
        <v>0.0568487272546734</v>
      </c>
    </row>
    <row r="352" customFormat="false" ht="12.75" hidden="false" customHeight="false" outlineLevel="0" collapsed="false">
      <c r="D352" s="226" t="n">
        <v>47696</v>
      </c>
      <c r="E352" s="227" t="n">
        <v>0.0568507695496971</v>
      </c>
    </row>
    <row r="353" customFormat="false" ht="12.75" hidden="false" customHeight="false" outlineLevel="0" collapsed="false">
      <c r="D353" s="226" t="n">
        <v>47727</v>
      </c>
      <c r="E353" s="227" t="n">
        <v>0.0568528118447218</v>
      </c>
    </row>
    <row r="354" customFormat="false" ht="12.75" hidden="false" customHeight="false" outlineLevel="0" collapsed="false">
      <c r="D354" s="226" t="n">
        <v>47757</v>
      </c>
      <c r="E354" s="227" t="n">
        <v>0.0568547882592632</v>
      </c>
    </row>
    <row r="355" customFormat="false" ht="12.75" hidden="false" customHeight="false" outlineLevel="0" collapsed="false">
      <c r="D355" s="226" t="n">
        <v>47788</v>
      </c>
      <c r="E355" s="227" t="n">
        <v>0.0568568305542909</v>
      </c>
    </row>
    <row r="356" customFormat="false" ht="12.75" hidden="false" customHeight="false" outlineLevel="0" collapsed="false">
      <c r="D356" s="226" t="n">
        <v>47818</v>
      </c>
      <c r="E356" s="227" t="n">
        <v>0.0568588069688349</v>
      </c>
    </row>
    <row r="357" customFormat="false" ht="12.75" hidden="false" customHeight="false" outlineLevel="0" collapsed="false">
      <c r="D357" s="226" t="n">
        <v>47849</v>
      </c>
      <c r="E357" s="227" t="n">
        <v>0.0568608492638649</v>
      </c>
    </row>
    <row r="358" customFormat="false" ht="12.75" hidden="false" customHeight="false" outlineLevel="0" collapsed="false">
      <c r="D358" s="226" t="n">
        <v>47880</v>
      </c>
      <c r="E358" s="227" t="n">
        <v>0.0568628915588967</v>
      </c>
    </row>
    <row r="359" customFormat="false" ht="12.75" hidden="false" customHeight="false" outlineLevel="0" collapsed="false">
      <c r="D359" s="226" t="n">
        <v>47908</v>
      </c>
      <c r="E359" s="227" t="n">
        <v>0.056864736212475</v>
      </c>
    </row>
    <row r="360" customFormat="false" ht="12.75" hidden="false" customHeight="false" outlineLevel="0" collapsed="false">
      <c r="D360" s="226" t="n">
        <v>47939</v>
      </c>
      <c r="E360" s="227" t="n">
        <v>0.0568667785075094</v>
      </c>
    </row>
    <row r="361" customFormat="false" ht="12.75" hidden="false" customHeight="false" outlineLevel="0" collapsed="false">
      <c r="D361" s="226" t="n">
        <v>47969</v>
      </c>
      <c r="E361" s="227" t="n">
        <v>0.0568687549220597</v>
      </c>
    </row>
    <row r="362" customFormat="false" ht="12.75" hidden="false" customHeight="false" outlineLevel="0" collapsed="false">
      <c r="D362" s="226" t="n">
        <v>48000</v>
      </c>
      <c r="E362" s="227" t="n">
        <v>0.0568707972170972</v>
      </c>
    </row>
    <row r="363" customFormat="false" ht="12.75" hidden="false" customHeight="false" outlineLevel="0" collapsed="false">
      <c r="D363" s="226" t="n">
        <v>48030</v>
      </c>
      <c r="E363" s="227" t="n">
        <v>0.0568727736316501</v>
      </c>
    </row>
    <row r="364" customFormat="false" ht="12.75" hidden="false" customHeight="false" outlineLevel="0" collapsed="false">
      <c r="D364" s="226" t="n">
        <v>48061</v>
      </c>
      <c r="E364" s="227" t="n">
        <v>0.0568748159266899</v>
      </c>
    </row>
    <row r="365" customFormat="false" ht="12.75" hidden="false" customHeight="false" outlineLevel="0" collapsed="false">
      <c r="D365" s="226" t="n">
        <v>48092</v>
      </c>
      <c r="E365" s="227" t="n">
        <v>0.0568768582217309</v>
      </c>
    </row>
    <row r="366" customFormat="false" ht="12.75" hidden="false" customHeight="false" outlineLevel="0" collapsed="false">
      <c r="D366" s="226" t="n">
        <v>48122</v>
      </c>
      <c r="E366" s="227" t="n">
        <v>0.0568788346362883</v>
      </c>
    </row>
    <row r="367" customFormat="false" ht="12.75" hidden="false" customHeight="false" outlineLevel="0" collapsed="false">
      <c r="D367" s="226" t="n">
        <v>48153</v>
      </c>
      <c r="E367" s="227" t="n">
        <v>0.056880876931332</v>
      </c>
    </row>
    <row r="8019" customFormat="false" ht="12.75" hidden="true" customHeight="false" outlineLevel="0" collapsed="false"/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urveFetch">
                <anchor moveWithCells="true" sizeWithCells="false">
                  <from>
                    <xdr:col>1</xdr:col>
                    <xdr:colOff>50040</xdr:colOff>
                    <xdr:row>8</xdr:row>
                    <xdr:rowOff>38160</xdr:rowOff>
                  </from>
                  <to>
                    <xdr:col>2</xdr:col>
                    <xdr:colOff>30600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2000-04-03T13:42:31Z</dcterms:created>
  <dc:creator>jreitme</dc:creator>
  <dc:description/>
  <dc:language>en-US</dc:language>
  <cp:lastModifiedBy>Philip Polsky</cp:lastModifiedBy>
  <cp:lastPrinted>2001-11-01T12:12:37Z</cp:lastPrinted>
  <dcterms:modified xsi:type="dcterms:W3CDTF">2001-11-01T22:29:39Z</dcterms:modified>
  <cp:revision>0</cp:revision>
  <dc:subject/>
  <dc:title/>
</cp:coreProperties>
</file>