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oking" sheetId="1" state="visible" r:id="rId3"/>
    <sheet name="Deferral Balances" sheetId="2" state="visible" r:id="rId4"/>
    <sheet name="Model Details" sheetId="3" state="visible" r:id="rId5"/>
    <sheet name="R&amp;C Model" sheetId="4" state="visible" r:id="rId6"/>
    <sheet name="1-10 vols" sheetId="5" state="visible" r:id="rId7"/>
    <sheet name="Transport Schedule" sheetId="6" state="visible" r:id="rId8"/>
    <sheet name="Industrial Model" sheetId="7" state="visible" r:id="rId9"/>
    <sheet name="6,7,5 vols" sheetId="8" state="visible" r:id="rId10"/>
    <sheet name="Other Deals" sheetId="9" state="visible" r:id="rId11"/>
  </sheets>
  <definedNames>
    <definedName function="false" hidden="false" localSheetId="4" name="_xlnm.Print_Area" vbProcedure="false">'1-10 vols'!$P$1:$AC$98</definedName>
    <definedName function="false" hidden="false" localSheetId="0" name="_xlnm.Print_Area" vbProcedure="false">Booking!$A$1:$O$21</definedName>
    <definedName function="false" hidden="false" localSheetId="3" name="_xlnm.Print_Area" vbProcedure="false">'R&amp;C Model'!$A$1:$K$46</definedName>
    <definedName function="false" hidden="false" localSheetId="5" name="_xlnm.Print_Area" vbProcedure="false">'Transport Schedule'!$B$3:$C$87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<sst xmlns="http://schemas.openxmlformats.org/spreadsheetml/2006/main" count="320" uniqueCount="220">
  <si>
    <t xml:space="preserve">Transaction #</t>
  </si>
  <si>
    <t xml:space="preserve">Description</t>
  </si>
  <si>
    <t xml:space="preserve">Daily Vol</t>
  </si>
  <si>
    <t xml:space="preserve">Term</t>
  </si>
  <si>
    <t xml:space="preserve">Global #</t>
  </si>
  <si>
    <t xml:space="preserve">Synergi #</t>
  </si>
  <si>
    <t xml:space="preserve">Sitara #</t>
  </si>
  <si>
    <t xml:space="preserve">Tagg #</t>
  </si>
  <si>
    <t xml:space="preserve">Meter #</t>
  </si>
  <si>
    <t xml:space="preserve">Phys Prem</t>
  </si>
  <si>
    <t xml:space="preserve">Other Charge</t>
  </si>
  <si>
    <t xml:space="preserve">Xport Charge</t>
  </si>
  <si>
    <t xml:space="preserve">Customer Px</t>
  </si>
  <si>
    <t xml:space="preserve">Overflow**</t>
  </si>
  <si>
    <t xml:space="preserve">See Dtl</t>
  </si>
  <si>
    <t xml:space="preserve">4/99-3/06</t>
  </si>
  <si>
    <t xml:space="preserve">ES0628.1</t>
  </si>
  <si>
    <t xml:space="preserve">All mtrs below</t>
  </si>
  <si>
    <t xml:space="preserve">See Detail</t>
  </si>
  <si>
    <t xml:space="preserve">I+.769/.60</t>
  </si>
  <si>
    <t xml:space="preserve">R&amp;C</t>
  </si>
  <si>
    <t xml:space="preserve">4/99-9/99</t>
  </si>
  <si>
    <t xml:space="preserve">EE7377.1</t>
  </si>
  <si>
    <t xml:space="preserve">Tx Coast R&amp;C supply</t>
  </si>
  <si>
    <t xml:space="preserve">4/99-6/01</t>
  </si>
  <si>
    <t xml:space="preserve">ES0923.1</t>
  </si>
  <si>
    <t xml:space="preserve">I+.45</t>
  </si>
  <si>
    <t xml:space="preserve">Tx Coast Commercial</t>
  </si>
  <si>
    <t xml:space="preserve">4/99-2/00</t>
  </si>
  <si>
    <t xml:space="preserve">E26107.2</t>
  </si>
  <si>
    <t xml:space="preserve">Vidor</t>
  </si>
  <si>
    <t xml:space="preserve">ES0926.1</t>
  </si>
  <si>
    <t xml:space="preserve">I+.403</t>
  </si>
  <si>
    <t xml:space="preserve">So Tx R&amp;C</t>
  </si>
  <si>
    <t xml:space="preserve">Excess Vols from Transactions #2-9 Roll up to Trans #1</t>
  </si>
  <si>
    <t xml:space="preserve">Huntsville</t>
  </si>
  <si>
    <t xml:space="preserve">up to 15,000</t>
  </si>
  <si>
    <t xml:space="preserve">I+.45/.60*</t>
  </si>
  <si>
    <t xml:space="preserve">Conroe</t>
  </si>
  <si>
    <t xml:space="preserve">up to 22,000</t>
  </si>
  <si>
    <t xml:space="preserve">Woodlands</t>
  </si>
  <si>
    <t xml:space="preserve">up to 24,000</t>
  </si>
  <si>
    <t xml:space="preserve">Trans #10 does not roll up to #1</t>
  </si>
  <si>
    <t xml:space="preserve">Angelina Co. R&amp;C</t>
  </si>
  <si>
    <t xml:space="preserve">up to 14,000</t>
  </si>
  <si>
    <t xml:space="preserve">4/99-3/07</t>
  </si>
  <si>
    <t xml:space="preserve">16-41991-301</t>
  </si>
  <si>
    <t xml:space="preserve">5792,7107,7108,7109</t>
  </si>
  <si>
    <t xml:space="preserve">Entex Industrial Enfolio</t>
  </si>
  <si>
    <t xml:space="preserve">up to 70,000</t>
  </si>
  <si>
    <t xml:space="preserve">70495, 81540</t>
  </si>
  <si>
    <t xml:space="preserve">ES7405.1</t>
  </si>
  <si>
    <t xml:space="preserve">None</t>
  </si>
  <si>
    <t xml:space="preserve">1st 30/d I-.07, remainder I+.05</t>
  </si>
  <si>
    <t xml:space="preserve">Angelina Co. Industrial</t>
  </si>
  <si>
    <t xml:space="preserve">up to 8,000</t>
  </si>
  <si>
    <t xml:space="preserve">ES7400.1</t>
  </si>
  <si>
    <t xml:space="preserve">7107,7108,7109</t>
  </si>
  <si>
    <t xml:space="preserve">I-.12</t>
  </si>
  <si>
    <t xml:space="preserve">Unit Gas Enfolio</t>
  </si>
  <si>
    <t xml:space="preserve">16-91000-303</t>
  </si>
  <si>
    <t xml:space="preserve">2000,1046,1195</t>
  </si>
  <si>
    <t xml:space="preserve">** Removed 10,000/d from risk assigned vols on 3/24/99 b/c ECT buys a put from Entex for floor on this vol.  This new ticket number is 70860.</t>
  </si>
  <si>
    <t xml:space="preserve">EV1565.1</t>
  </si>
  <si>
    <t xml:space="preserve">Additional Unit Gas Deals that were not encompassed by new deal</t>
  </si>
  <si>
    <t xml:space="preserve">Unit Gas Transmission</t>
  </si>
  <si>
    <t xml:space="preserve">3/96-6/01</t>
  </si>
  <si>
    <t xml:space="preserve">16-91000-301</t>
  </si>
  <si>
    <t xml:space="preserve">E05228.1</t>
  </si>
  <si>
    <t xml:space="preserve">I-.07</t>
  </si>
  <si>
    <t xml:space="preserve">Detail</t>
  </si>
  <si>
    <t xml:space="preserve">ES0926.1,   ES0628.1, ES0923.1</t>
  </si>
  <si>
    <t xml:space="preserve">Transport is withheld and accrued in winter mos at following rates</t>
  </si>
  <si>
    <t xml:space="preserve">* Price is I+.45 until 7/01 and I+.60 thereafter</t>
  </si>
  <si>
    <t xml:space="preserve">P&amp;L Perspective</t>
  </si>
  <si>
    <t xml:space="preserve">Production Month</t>
  </si>
  <si>
    <t xml:space="preserve">Deferral</t>
  </si>
  <si>
    <t xml:space="preserve">The model is fairly simple to use.</t>
  </si>
  <si>
    <t xml:space="preserve">1)</t>
  </si>
  <si>
    <t xml:space="preserve">Input values in the </t>
  </si>
  <si>
    <t xml:space="preserve">yellow</t>
  </si>
  <si>
    <t xml:space="preserve">fields</t>
  </si>
  <si>
    <t xml:space="preserve">- The problem areas for this deal are mostly driven by volume.</t>
  </si>
  <si>
    <t xml:space="preserve">- Entex will always create a variance b/c of the volume booked in TAGG as compare w/ actual volumes.  Entex has huge swing capability therefore</t>
  </si>
  <si>
    <t xml:space="preserve">- the booked volumes are only approximations based on historical pulls.</t>
  </si>
  <si>
    <t xml:space="preserve">- A second problem area is created by the "up to" volumes on meter 0073 (Conroe, Huntsville, Woodlands)</t>
  </si>
  <si>
    <t xml:space="preserve">- this meter will always cause a variance once again b/c of the bookings in TAGG.  If Entex pulls more than booked in TAGG at this meter</t>
  </si>
  <si>
    <t xml:space="preserve">- a negative variance will be created ( due to the difference in price on 0073 vols and excess vols) and vice versa.</t>
  </si>
  <si>
    <t xml:space="preserve">2)</t>
  </si>
  <si>
    <t xml:space="preserve">The </t>
  </si>
  <si>
    <t xml:space="preserve">red </t>
  </si>
  <si>
    <t xml:space="preserve">fields are fixed and will update automatically based on the month</t>
  </si>
  <si>
    <t xml:space="preserve">NOTE: If you insert any columns on the 1-10 vols sheet or the 6,7,5 vols sheet the model will be thrown off.</t>
  </si>
  <si>
    <t xml:space="preserve">Month</t>
  </si>
  <si>
    <t xml:space="preserve">In DD/MM/YY Format</t>
  </si>
  <si>
    <t xml:space="preserve">DO NOT REMOVE THESE FIELDS</t>
  </si>
  <si>
    <t xml:space="preserve">Days</t>
  </si>
  <si>
    <t xml:space="preserve">Total Booked</t>
  </si>
  <si>
    <t xml:space="preserve">Total Fixed</t>
  </si>
  <si>
    <t xml:space="preserve">Estimated Vols</t>
  </si>
  <si>
    <t xml:space="preserve">Total Entex Residential and Commercial Vols</t>
  </si>
  <si>
    <t xml:space="preserve">Include Huntsville, </t>
  </si>
  <si>
    <t xml:space="preserve">Actual Vols</t>
  </si>
  <si>
    <t xml:space="preserve">UA4 Rate</t>
  </si>
  <si>
    <t xml:space="preserve">DO NOT INCLUDE INDUSTRIAL VOLUMES</t>
  </si>
  <si>
    <t xml:space="preserve">Conroe, Woodlands.</t>
  </si>
  <si>
    <t xml:space="preserve">Index</t>
  </si>
  <si>
    <t xml:space="preserve">Mid</t>
  </si>
  <si>
    <t xml:space="preserve">Other Adder</t>
  </si>
  <si>
    <t xml:space="preserve">Transport Adder</t>
  </si>
  <si>
    <t xml:space="preserve">Desk Price</t>
  </si>
  <si>
    <t xml:space="preserve">Sitara Vols</t>
  </si>
  <si>
    <t xml:space="preserve">Huntsville(70211)</t>
  </si>
  <si>
    <t xml:space="preserve">Conroe(70222)</t>
  </si>
  <si>
    <t xml:space="preserve">Obtain these vols from Economics Detail or Logistics</t>
  </si>
  <si>
    <t xml:space="preserve">Woodlands(70235)</t>
  </si>
  <si>
    <t xml:space="preserve">in order to ensure accurate OA figure</t>
  </si>
  <si>
    <t xml:space="preserve">Get a vol expectation for meter #0073</t>
  </si>
  <si>
    <t xml:space="preserve">All Vols on </t>
  </si>
  <si>
    <t xml:space="preserve">Meter #0073</t>
  </si>
  <si>
    <t xml:space="preserve">OA Matrix</t>
  </si>
  <si>
    <t xml:space="preserve">Estimate</t>
  </si>
  <si>
    <t xml:space="preserve">Invoice</t>
  </si>
  <si>
    <t xml:space="preserve">Liquidations</t>
  </si>
  <si>
    <t xml:space="preserve">Desk Mgmt Fee</t>
  </si>
  <si>
    <t xml:space="preserve">Deal #</t>
  </si>
  <si>
    <t xml:space="preserve">Vol/mo</t>
  </si>
  <si>
    <t xml:space="preserve">Cust Px</t>
  </si>
  <si>
    <t xml:space="preserve">Nominal PX</t>
  </si>
  <si>
    <t xml:space="preserve">70549 Transport</t>
  </si>
  <si>
    <t xml:space="preserve">Conroe, Huntsville, Woodlands</t>
  </si>
  <si>
    <t xml:space="preserve">Input vols from 70549</t>
  </si>
  <si>
    <t xml:space="preserve">UA4</t>
  </si>
  <si>
    <t xml:space="preserve">Option</t>
  </si>
  <si>
    <t xml:space="preserve">Totals</t>
  </si>
  <si>
    <t xml:space="preserve">Should Equal Actuals</t>
  </si>
  <si>
    <t xml:space="preserve">Net Impact to the NGP&amp;L</t>
  </si>
  <si>
    <t xml:space="preserve">Liquidation on additional premium for fixed price tiers</t>
  </si>
  <si>
    <t xml:space="preserve">Variance ID:</t>
  </si>
  <si>
    <t xml:space="preserve">ES2026.1</t>
  </si>
  <si>
    <t xml:space="preserve">Actual&lt;Firm</t>
  </si>
  <si>
    <t xml:space="preserve">Estimated in 7/99-8/99 P&amp;L, 10/99</t>
  </si>
  <si>
    <t xml:space="preserve">HWC Actual&gt;Firm</t>
  </si>
  <si>
    <t xml:space="preserve">Fixed Price Tiers</t>
  </si>
  <si>
    <t xml:space="preserve">Desk Management Fee</t>
  </si>
  <si>
    <t xml:space="preserve">UA4 Impact</t>
  </si>
  <si>
    <t xml:space="preserve">Net Impact to P&amp;L</t>
  </si>
  <si>
    <t xml:space="preserve"> 70201*</t>
  </si>
  <si>
    <t xml:space="preserve">70211*</t>
  </si>
  <si>
    <t xml:space="preserve">70222*</t>
  </si>
  <si>
    <t xml:space="preserve">70235*</t>
  </si>
  <si>
    <t xml:space="preserve">Overflow/d</t>
  </si>
  <si>
    <t xml:space="preserve">Total Booked Trans #1-10</t>
  </si>
  <si>
    <t xml:space="preserve">Vol/d</t>
  </si>
  <si>
    <t xml:space="preserve">S0628.1</t>
  </si>
  <si>
    <t xml:space="preserve">Booked Phys Prem</t>
  </si>
  <si>
    <t xml:space="preserve">Greatwood EN28161.1</t>
  </si>
  <si>
    <t xml:space="preserve">S0923.1</t>
  </si>
  <si>
    <t xml:space="preserve">S0926.1</t>
  </si>
  <si>
    <t xml:space="preserve">Fixed Price</t>
  </si>
  <si>
    <t xml:space="preserve">Desk Mgmt Fee ES2206.4,ES8053.4,ET5235.5,E30588.3</t>
  </si>
  <si>
    <t xml:space="preserve">Trans #</t>
  </si>
  <si>
    <t xml:space="preserve">2-5,7</t>
  </si>
  <si>
    <t xml:space="preserve">vol/d</t>
  </si>
  <si>
    <t xml:space="preserve">*70211 is the tkt for Huntsville vols where up to 15,000/d is priced at I+.45/.60.  Tagg #ES0923.1 aggregates these volumes with Conroe and the Woodlands.</t>
  </si>
  <si>
    <t xml:space="preserve">The Total aggregate volume is less than that of the deal volume b/c Entex is expected to pull much less than their max at this mtr (#0073).  Therefore each</t>
  </si>
  <si>
    <t xml:space="preserve"> tkt takes a percentage of the total risk assigned volume.  Total risk assigned volume is listed under the column heading ES0923.1</t>
  </si>
  <si>
    <t xml:space="preserve">The Huntsville portion of this volume is (15000/(15000+24000+22000)) or 24.59%.</t>
  </si>
  <si>
    <t xml:space="preserve">**70222 is the Conroe portion of the above where up to 20,000/d is priced at I+.45/.60.  The conroe portion of risk assigned volumes is </t>
  </si>
  <si>
    <t xml:space="preserve">(22000/(15000+24000+22000)) or 36.07%.</t>
  </si>
  <si>
    <t xml:space="preserve">***70235 is the Woodlands portion of the above volume where up to 24,000/d is priced at I+.45/.60.  The Woodlands portion of risk assigned volumes(ES0923.1)</t>
  </si>
  <si>
    <t xml:space="preserve">is (24000/15000+24000+22000)) or 39.344%.</t>
  </si>
  <si>
    <t xml:space="preserve">Rate</t>
  </si>
  <si>
    <t xml:space="preserve">Total Index</t>
  </si>
  <si>
    <t xml:space="preserve">HSC Index</t>
  </si>
  <si>
    <t xml:space="preserve">HSC mid</t>
  </si>
  <si>
    <t xml:space="preserve">Trans # 5,6</t>
  </si>
  <si>
    <t xml:space="preserve">Actual Volume</t>
  </si>
  <si>
    <t xml:space="preserve">70495,70499</t>
  </si>
  <si>
    <t xml:space="preserve">Booked Volume</t>
  </si>
  <si>
    <t xml:space="preserve">Customer Price</t>
  </si>
  <si>
    <t xml:space="preserve">Trans # 7</t>
  </si>
  <si>
    <t xml:space="preserve">Flash</t>
  </si>
  <si>
    <t xml:space="preserve">Actual</t>
  </si>
  <si>
    <t xml:space="preserve">Trans #5,6</t>
  </si>
  <si>
    <t xml:space="preserve">Trans #7</t>
  </si>
  <si>
    <t xml:space="preserve">OA</t>
  </si>
  <si>
    <t xml:space="preserve">Desk Price Adjustment</t>
  </si>
  <si>
    <t xml:space="preserve">Volume</t>
  </si>
  <si>
    <t xml:space="preserve">Sitara ticket</t>
  </si>
  <si>
    <t xml:space="preserve">Adjustment/MMBTU</t>
  </si>
  <si>
    <t xml:space="preserve">Total Booked Trans #6,7,5</t>
  </si>
  <si>
    <t xml:space="preserve">Trans # 6 and 5 S7405.1</t>
  </si>
  <si>
    <t xml:space="preserve">Phys Prem.</t>
  </si>
  <si>
    <t xml:space="preserve">Accrual Items</t>
  </si>
  <si>
    <t xml:space="preserve">Trans # 7 S7400.1</t>
  </si>
  <si>
    <t xml:space="preserve">Transactions #6 and 5 have an aggregate risk assigned volume of 30,000/d.  This number has been split out between two counterparties - Entex (#6) and Unit (#5).</t>
  </si>
  <si>
    <t xml:space="preserve">Total Flashed</t>
  </si>
  <si>
    <t xml:space="preserve">Total Actuals</t>
  </si>
  <si>
    <t xml:space="preserve">Sitara# 72063</t>
  </si>
  <si>
    <t xml:space="preserve">Sitara# 78418</t>
  </si>
  <si>
    <t xml:space="preserve">Sitara# 60952</t>
  </si>
  <si>
    <t xml:space="preserve">Actuals</t>
  </si>
  <si>
    <t xml:space="preserve">Flashed Vol</t>
  </si>
  <si>
    <t xml:space="preserve">Booked Vol</t>
  </si>
  <si>
    <t xml:space="preserve">Desk PX</t>
  </si>
  <si>
    <t xml:space="preserve">Customer PX</t>
  </si>
  <si>
    <t xml:space="preserve">Sitara#70119</t>
  </si>
  <si>
    <t xml:space="preserve">Sitara# 78417</t>
  </si>
  <si>
    <t xml:space="preserve">Sitara#70114</t>
  </si>
  <si>
    <t xml:space="preserve">Actual Flash</t>
  </si>
  <si>
    <t xml:space="preserve">Total Invoice</t>
  </si>
  <si>
    <t xml:space="preserve">E10708.2</t>
  </si>
  <si>
    <t xml:space="preserve">E50439.1</t>
  </si>
  <si>
    <t xml:space="preserve">E27383.1</t>
  </si>
  <si>
    <t xml:space="preserve">E19854.1</t>
  </si>
  <si>
    <t xml:space="preserve">TOTAL ENTEX EFFECT TO NGP&amp;L</t>
  </si>
  <si>
    <t xml:space="preserve">   Actuals&gt;Firm</t>
  </si>
  <si>
    <t xml:space="preserve">   UA4</t>
  </si>
  <si>
    <t xml:space="preserve">   Actuals&lt;Firm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</si>
</sst>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&quot;96&quot;0\1####"/>
    <numFmt numFmtId="166" formatCode="###&quot;-41991-&quot;###"/>
    <numFmt numFmtId="167" formatCode="00##"/>
    <numFmt numFmtId="168" formatCode="&quot;96&quot;00####"/>
    <numFmt numFmtId="169" formatCode="###&quot;-91&quot;000\-###"/>
    <numFmt numFmtId="170" formatCode="[$-409]mmm\-yy"/>
    <numFmt numFmtId="171" formatCode="_(* #,##0.00_);_(* \(#,##0.00\);_(* \-??_);_(@_)"/>
    <numFmt numFmtId="172" formatCode="_(* #,##0_);_(* \(#,##0\);_(* \-??_);_(@_)"/>
    <numFmt numFmtId="173" formatCode="\$#,##0_);[RED]&quot;($&quot;#,##0\)"/>
    <numFmt numFmtId="174" formatCode="#,##0"/>
    <numFmt numFmtId="175" formatCode="\$#,##0.000"/>
    <numFmt numFmtId="176" formatCode="\$#,##0.0000"/>
    <numFmt numFmtId="177" formatCode="\$#,##0.00"/>
    <numFmt numFmtId="178" formatCode="[$-409]#,##0_);\(#,##0\)"/>
    <numFmt numFmtId="179" formatCode="\$#,##0_);&quot;($&quot;#,##0\)"/>
    <numFmt numFmtId="180" formatCode="\$#,##0.000_);&quot;($&quot;#,##0.000\)"/>
    <numFmt numFmtId="181" formatCode="\$#,##0.00_);&quot;($&quot;#,##0.00\)"/>
    <numFmt numFmtId="182" formatCode="&quot;I+$&quot;0.###"/>
    <numFmt numFmtId="183" formatCode="\$#,##0"/>
    <numFmt numFmtId="184" formatCode="\$#,##0.000000_);[RED]&quot;($&quot;#,##0.000000\)"/>
    <numFmt numFmtId="185" formatCode="0"/>
    <numFmt numFmtId="186" formatCode="_(\$* #,##0.00_);_(\$* \(#,##0.00\);_(\$* \-??_);_(@_)"/>
    <numFmt numFmtId="187" formatCode="_(* #,##0.0000_);_(* \(#,##0.0000\);_(* \-??_);_(@_)"/>
    <numFmt numFmtId="188" formatCode="0.0000"/>
    <numFmt numFmtId="189" formatCode="_(* #,##0.000_);_(* \(#,##0.000\);_(* \-??_);_(@_)"/>
    <numFmt numFmtId="190" formatCode="_(* #,##0.00000_);_(* \(#,##0.00000\);_(* \-??_);_(@_)"/>
    <numFmt numFmtId="191" formatCode="\$#,##0.0000_);&quot;($&quot;#,##0.000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99CC0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993366"/>
      <name val="Arial"/>
      <family val="2"/>
    </font>
    <font>
      <sz val="10"/>
      <color rgb="FF339966"/>
      <name val="Arial"/>
      <family val="2"/>
    </font>
    <font>
      <sz val="10"/>
      <color rgb="FFFFCC00"/>
      <name val="Arial"/>
      <family val="2"/>
    </font>
    <font>
      <sz val="10"/>
      <color rgb="FF3366FF"/>
      <name val="Arial"/>
      <family val="2"/>
    </font>
    <font>
      <sz val="10"/>
      <name val="Times New Roman"/>
      <family val="1"/>
    </font>
    <font>
      <b val="true"/>
      <sz val="10"/>
      <color rgb="FFFF0000"/>
      <name val="Arial"/>
      <family val="2"/>
    </font>
    <font>
      <i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6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6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6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6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6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6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6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6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4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1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1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6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6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6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</xdr:row>
      <xdr:rowOff>114480</xdr:rowOff>
    </xdr:from>
    <xdr:to>
      <xdr:col>2</xdr:col>
      <xdr:colOff>720</xdr:colOff>
      <xdr:row>7</xdr:row>
      <xdr:rowOff>142200</xdr:rowOff>
    </xdr:to>
    <xdr:sp>
      <xdr:nvSpPr>
        <xdr:cNvPr id="0" name="Line 4"/>
        <xdr:cNvSpPr/>
      </xdr:nvSpPr>
      <xdr:spPr>
        <a:xfrm flipH="1">
          <a:off x="1187280" y="800280"/>
          <a:ext cx="433440" cy="837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10440</xdr:colOff>
      <xdr:row>7</xdr:row>
      <xdr:rowOff>457920</xdr:rowOff>
    </xdr:from>
    <xdr:to>
      <xdr:col>1</xdr:col>
      <xdr:colOff>382680</xdr:colOff>
      <xdr:row>9</xdr:row>
      <xdr:rowOff>218880</xdr:rowOff>
    </xdr:to>
    <xdr:sp>
      <xdr:nvSpPr>
        <xdr:cNvPr id="1" name="Line 5"/>
        <xdr:cNvSpPr/>
      </xdr:nvSpPr>
      <xdr:spPr>
        <a:xfrm flipH="1" flipV="1">
          <a:off x="1197720" y="1953360"/>
          <a:ext cx="372240" cy="627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120600</xdr:colOff>
      <xdr:row>0</xdr:row>
      <xdr:rowOff>95400</xdr:rowOff>
    </xdr:from>
    <xdr:to>
      <xdr:col>4</xdr:col>
      <xdr:colOff>372600</xdr:colOff>
      <xdr:row>0</xdr:row>
      <xdr:rowOff>95400</xdr:rowOff>
    </xdr:to>
    <xdr:sp>
      <xdr:nvSpPr>
        <xdr:cNvPr id="2" name="Line 5"/>
        <xdr:cNvSpPr/>
      </xdr:nvSpPr>
      <xdr:spPr>
        <a:xfrm flipH="1">
          <a:off x="2203560" y="95400"/>
          <a:ext cx="22546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50400</xdr:colOff>
      <xdr:row>16</xdr:row>
      <xdr:rowOff>56880</xdr:rowOff>
    </xdr:from>
    <xdr:to>
      <xdr:col>2</xdr:col>
      <xdr:colOff>554040</xdr:colOff>
      <xdr:row>17</xdr:row>
      <xdr:rowOff>47160</xdr:rowOff>
    </xdr:to>
    <xdr:sp>
      <xdr:nvSpPr>
        <xdr:cNvPr id="3" name="Line 7"/>
        <xdr:cNvSpPr/>
      </xdr:nvSpPr>
      <xdr:spPr>
        <a:xfrm>
          <a:off x="2133360" y="2619000"/>
          <a:ext cx="503640" cy="1620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80280</xdr:colOff>
      <xdr:row>17</xdr:row>
      <xdr:rowOff>114480</xdr:rowOff>
    </xdr:from>
    <xdr:to>
      <xdr:col>2</xdr:col>
      <xdr:colOff>514440</xdr:colOff>
      <xdr:row>18</xdr:row>
      <xdr:rowOff>133560</xdr:rowOff>
    </xdr:to>
    <xdr:sp>
      <xdr:nvSpPr>
        <xdr:cNvPr id="4" name="Line 8"/>
        <xdr:cNvSpPr/>
      </xdr:nvSpPr>
      <xdr:spPr>
        <a:xfrm flipV="1">
          <a:off x="2163240" y="2848320"/>
          <a:ext cx="434160" cy="1807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160920</xdr:colOff>
      <xdr:row>5</xdr:row>
      <xdr:rowOff>95400</xdr:rowOff>
    </xdr:from>
    <xdr:to>
      <xdr:col>4</xdr:col>
      <xdr:colOff>372960</xdr:colOff>
      <xdr:row>5</xdr:row>
      <xdr:rowOff>95400</xdr:rowOff>
    </xdr:to>
    <xdr:sp>
      <xdr:nvSpPr>
        <xdr:cNvPr id="5" name="Line 10"/>
        <xdr:cNvSpPr/>
      </xdr:nvSpPr>
      <xdr:spPr>
        <a:xfrm flipH="1">
          <a:off x="2243880" y="905040"/>
          <a:ext cx="22147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653400</xdr:colOff>
      <xdr:row>19</xdr:row>
      <xdr:rowOff>28080</xdr:rowOff>
    </xdr:from>
    <xdr:to>
      <xdr:col>0</xdr:col>
      <xdr:colOff>654840</xdr:colOff>
      <xdr:row>20</xdr:row>
      <xdr:rowOff>104760</xdr:rowOff>
    </xdr:to>
    <xdr:sp>
      <xdr:nvSpPr>
        <xdr:cNvPr id="6" name="Line 13"/>
        <xdr:cNvSpPr/>
      </xdr:nvSpPr>
      <xdr:spPr>
        <a:xfrm flipV="1">
          <a:off x="653400" y="3095280"/>
          <a:ext cx="1440" cy="219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794520</xdr:colOff>
      <xdr:row>31</xdr:row>
      <xdr:rowOff>152640</xdr:rowOff>
    </xdr:from>
    <xdr:to>
      <xdr:col>6</xdr:col>
      <xdr:colOff>319320</xdr:colOff>
      <xdr:row>38</xdr:row>
      <xdr:rowOff>47520</xdr:rowOff>
    </xdr:to>
    <xdr:sp>
      <xdr:nvSpPr>
        <xdr:cNvPr id="7" name="Line 14"/>
        <xdr:cNvSpPr/>
      </xdr:nvSpPr>
      <xdr:spPr>
        <a:xfrm flipH="1" flipV="1">
          <a:off x="4880160" y="5105520"/>
          <a:ext cx="1023480" cy="1047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422280</xdr:colOff>
      <xdr:row>5</xdr:row>
      <xdr:rowOff>114480</xdr:rowOff>
    </xdr:from>
    <xdr:to>
      <xdr:col>9</xdr:col>
      <xdr:colOff>754920</xdr:colOff>
      <xdr:row>5</xdr:row>
      <xdr:rowOff>114480</xdr:rowOff>
    </xdr:to>
    <xdr:sp>
      <xdr:nvSpPr>
        <xdr:cNvPr id="8" name="Line 32"/>
        <xdr:cNvSpPr/>
      </xdr:nvSpPr>
      <xdr:spPr>
        <a:xfrm>
          <a:off x="7966800" y="924120"/>
          <a:ext cx="3326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653760</xdr:colOff>
      <xdr:row>26</xdr:row>
      <xdr:rowOff>114120</xdr:rowOff>
    </xdr:from>
    <xdr:to>
      <xdr:col>6</xdr:col>
      <xdr:colOff>10080</xdr:colOff>
      <xdr:row>40</xdr:row>
      <xdr:rowOff>9360</xdr:rowOff>
    </xdr:to>
    <xdr:sp>
      <xdr:nvSpPr>
        <xdr:cNvPr id="9" name="Line 35"/>
        <xdr:cNvSpPr/>
      </xdr:nvSpPr>
      <xdr:spPr>
        <a:xfrm flipH="1" flipV="1">
          <a:off x="4739400" y="4257360"/>
          <a:ext cx="855000" cy="2181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614160</xdr:colOff>
      <xdr:row>30</xdr:row>
      <xdr:rowOff>-360</xdr:rowOff>
    </xdr:from>
    <xdr:to>
      <xdr:col>0</xdr:col>
      <xdr:colOff>615600</xdr:colOff>
      <xdr:row>31</xdr:row>
      <xdr:rowOff>56520</xdr:rowOff>
    </xdr:to>
    <xdr:sp>
      <xdr:nvSpPr>
        <xdr:cNvPr id="10" name="Line 36"/>
        <xdr:cNvSpPr/>
      </xdr:nvSpPr>
      <xdr:spPr>
        <a:xfrm flipV="1">
          <a:off x="614160" y="4790880"/>
          <a:ext cx="1440" cy="218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6.13"/>
    <col collapsed="false" customWidth="true" hidden="false" outlineLevel="0" max="3" min="3" style="0" width="13.56"/>
    <col collapsed="false" customWidth="true" hidden="false" outlineLevel="0" max="4" min="4" style="0" width="20.41"/>
    <col collapsed="false" customWidth="true" hidden="false" outlineLevel="0" max="5" min="5" style="0" width="7.56"/>
    <col collapsed="false" customWidth="true" hidden="false" outlineLevel="0" max="6" min="6" style="0" width="12.28"/>
    <col collapsed="false" customWidth="true" hidden="false" outlineLevel="0" max="7" min="7" style="0" width="9.7"/>
    <col collapsed="false" customWidth="true" hidden="false" outlineLevel="0" max="8" min="8" style="0" width="12.14"/>
    <col collapsed="false" customWidth="true" hidden="false" outlineLevel="0" max="9" min="9" style="0" width="7.85"/>
    <col collapsed="false" customWidth="true" hidden="false" outlineLevel="0" max="10" min="10" style="0" width="10.41"/>
    <col collapsed="false" customWidth="true" hidden="false" outlineLevel="0" max="11" min="11" style="0" width="10.56"/>
    <col collapsed="false" customWidth="true" hidden="false" outlineLevel="0" max="12" min="12" style="0" width="8.7"/>
    <col collapsed="false" customWidth="true" hidden="false" outlineLevel="0" max="13" min="13" style="0" width="7.42"/>
    <col collapsed="false" customWidth="true" hidden="false" outlineLevel="0" max="14" min="14" style="0" width="10.99"/>
    <col collapsed="false" customWidth="true" hidden="false" outlineLevel="0" max="15" min="15" style="0" width="13.99"/>
  </cols>
  <sheetData>
    <row r="1" customFormat="false" ht="28.5" hidden="false" customHeight="true" outlineLevel="0" collapsed="false">
      <c r="C1" s="1" t="s">
        <v>0</v>
      </c>
      <c r="D1" s="1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1" t="s">
        <v>6</v>
      </c>
      <c r="J1" s="1" t="s">
        <v>7</v>
      </c>
      <c r="K1" s="1" t="s">
        <v>8</v>
      </c>
      <c r="L1" s="2" t="s">
        <v>9</v>
      </c>
      <c r="M1" s="2" t="s">
        <v>10</v>
      </c>
      <c r="N1" s="2" t="s">
        <v>11</v>
      </c>
      <c r="O1" s="2" t="s">
        <v>12</v>
      </c>
    </row>
    <row r="2" customFormat="false" ht="25.5" hidden="false" customHeight="false" outlineLevel="0" collapsed="false">
      <c r="A2" s="3"/>
      <c r="B2" s="3"/>
      <c r="C2" s="4" t="n">
        <v>1</v>
      </c>
      <c r="D2" s="5" t="s">
        <v>13</v>
      </c>
      <c r="E2" s="6" t="s">
        <v>14</v>
      </c>
      <c r="F2" s="6" t="s">
        <v>15</v>
      </c>
      <c r="G2" s="7" t="n">
        <v>9120</v>
      </c>
      <c r="H2" s="8" t="n">
        <v>16301</v>
      </c>
      <c r="I2" s="9" t="n">
        <v>87513</v>
      </c>
      <c r="J2" s="10" t="s">
        <v>16</v>
      </c>
      <c r="K2" s="11" t="s">
        <v>17</v>
      </c>
      <c r="L2" s="6"/>
      <c r="M2" s="6" t="n">
        <v>0.06</v>
      </c>
      <c r="N2" s="6" t="s">
        <v>18</v>
      </c>
      <c r="O2" s="6" t="s">
        <v>19</v>
      </c>
    </row>
    <row r="3" customFormat="false" ht="12.75" hidden="false" customHeight="false" outlineLevel="0" collapsed="false">
      <c r="C3" s="4" t="n">
        <v>2</v>
      </c>
      <c r="D3" s="0" t="s">
        <v>20</v>
      </c>
      <c r="E3" s="12" t="n">
        <v>5000</v>
      </c>
      <c r="F3" s="12" t="s">
        <v>21</v>
      </c>
      <c r="G3" s="7" t="n">
        <v>9120</v>
      </c>
      <c r="H3" s="8" t="n">
        <v>16301</v>
      </c>
      <c r="I3" s="13" t="n">
        <v>70201</v>
      </c>
      <c r="J3" s="12" t="s">
        <v>22</v>
      </c>
      <c r="K3" s="12" t="n">
        <v>2000</v>
      </c>
      <c r="L3" s="12"/>
      <c r="M3" s="12" t="n">
        <v>0.06</v>
      </c>
      <c r="N3" s="12" t="s">
        <v>18</v>
      </c>
      <c r="O3" s="12" t="n">
        <v>3.136</v>
      </c>
    </row>
    <row r="4" customFormat="false" ht="12.75" hidden="false" customHeight="false" outlineLevel="0" collapsed="false">
      <c r="C4" s="4" t="n">
        <v>3</v>
      </c>
      <c r="D4" s="0" t="s">
        <v>23</v>
      </c>
      <c r="E4" s="12" t="n">
        <v>4000</v>
      </c>
      <c r="F4" s="12" t="s">
        <v>24</v>
      </c>
      <c r="G4" s="7" t="n">
        <v>9120</v>
      </c>
      <c r="H4" s="8" t="n">
        <v>16301</v>
      </c>
      <c r="I4" s="13" t="n">
        <v>70201</v>
      </c>
      <c r="J4" s="10" t="s">
        <v>25</v>
      </c>
      <c r="K4" s="10" t="n">
        <v>2000</v>
      </c>
      <c r="L4" s="12"/>
      <c r="M4" s="12" t="n">
        <v>0.06</v>
      </c>
      <c r="N4" s="12" t="s">
        <v>18</v>
      </c>
      <c r="O4" s="12" t="s">
        <v>26</v>
      </c>
    </row>
    <row r="5" customFormat="false" ht="12.75" hidden="false" customHeight="false" outlineLevel="0" collapsed="false">
      <c r="C5" s="4" t="n">
        <v>4</v>
      </c>
      <c r="D5" s="0" t="s">
        <v>27</v>
      </c>
      <c r="E5" s="12" t="n">
        <v>5000</v>
      </c>
      <c r="F5" s="12" t="s">
        <v>28</v>
      </c>
      <c r="G5" s="7" t="n">
        <v>9120</v>
      </c>
      <c r="H5" s="8" t="n">
        <v>16301</v>
      </c>
      <c r="I5" s="13" t="n">
        <v>70201</v>
      </c>
      <c r="J5" s="12" t="s">
        <v>29</v>
      </c>
      <c r="K5" s="12" t="n">
        <v>2000</v>
      </c>
      <c r="L5" s="12"/>
      <c r="M5" s="12" t="n">
        <v>0.06</v>
      </c>
      <c r="N5" s="12" t="s">
        <v>18</v>
      </c>
      <c r="O5" s="12" t="n">
        <v>2.71</v>
      </c>
    </row>
    <row r="6" customFormat="false" ht="12.75" hidden="false" customHeight="false" outlineLevel="0" collapsed="false">
      <c r="C6" s="4" t="n">
        <v>5</v>
      </c>
      <c r="D6" s="0" t="s">
        <v>30</v>
      </c>
      <c r="E6" s="12" t="n">
        <v>2500</v>
      </c>
      <c r="F6" s="12" t="s">
        <v>24</v>
      </c>
      <c r="G6" s="7" t="n">
        <v>9120</v>
      </c>
      <c r="H6" s="8" t="n">
        <v>16301</v>
      </c>
      <c r="I6" s="13" t="n">
        <v>70201</v>
      </c>
      <c r="J6" s="12" t="s">
        <v>31</v>
      </c>
      <c r="K6" s="12" t="n">
        <v>2000</v>
      </c>
      <c r="L6" s="12" t="n">
        <v>0.343</v>
      </c>
      <c r="M6" s="12" t="n">
        <v>0.06</v>
      </c>
      <c r="N6" s="12" t="s">
        <v>18</v>
      </c>
      <c r="O6" s="12" t="s">
        <v>32</v>
      </c>
    </row>
    <row r="7" customFormat="false" ht="12.75" hidden="false" customHeight="false" outlineLevel="0" collapsed="false">
      <c r="C7" s="4" t="n">
        <v>7</v>
      </c>
      <c r="D7" s="0" t="s">
        <v>33</v>
      </c>
      <c r="E7" s="12" t="n">
        <v>4000</v>
      </c>
      <c r="F7" s="12" t="s">
        <v>24</v>
      </c>
      <c r="G7" s="7" t="n">
        <v>9120</v>
      </c>
      <c r="H7" s="8" t="n">
        <v>16301</v>
      </c>
      <c r="I7" s="13" t="n">
        <v>70201</v>
      </c>
      <c r="J7" s="12" t="s">
        <v>31</v>
      </c>
      <c r="K7" s="12" t="n">
        <v>2000</v>
      </c>
      <c r="L7" s="12" t="n">
        <v>0.343</v>
      </c>
      <c r="M7" s="12" t="n">
        <v>0.06</v>
      </c>
      <c r="N7" s="12" t="s">
        <v>18</v>
      </c>
      <c r="O7" s="12" t="s">
        <v>32</v>
      </c>
    </row>
    <row r="8" customFormat="false" ht="42.75" hidden="false" customHeight="true" outlineLevel="0" collapsed="false">
      <c r="A8" s="14" t="s">
        <v>34</v>
      </c>
      <c r="C8" s="12" t="n">
        <v>6</v>
      </c>
      <c r="D8" s="0" t="s">
        <v>35</v>
      </c>
      <c r="E8" s="11" t="s">
        <v>36</v>
      </c>
      <c r="F8" s="12" t="s">
        <v>15</v>
      </c>
      <c r="G8" s="7" t="n">
        <v>9120</v>
      </c>
      <c r="H8" s="8" t="n">
        <v>16301</v>
      </c>
      <c r="I8" s="15" t="n">
        <v>70211</v>
      </c>
      <c r="J8" s="12" t="s">
        <v>25</v>
      </c>
      <c r="K8" s="16" t="n">
        <v>73</v>
      </c>
      <c r="L8" s="12" t="n">
        <v>0.39</v>
      </c>
      <c r="M8" s="12" t="n">
        <v>0.06</v>
      </c>
      <c r="N8" s="12" t="s">
        <v>18</v>
      </c>
      <c r="O8" s="12" t="s">
        <v>37</v>
      </c>
    </row>
    <row r="9" customFormat="false" ht="25.5" hidden="false" customHeight="false" outlineLevel="0" collapsed="false">
      <c r="C9" s="12" t="n">
        <v>8</v>
      </c>
      <c r="D9" s="0" t="s">
        <v>38</v>
      </c>
      <c r="E9" s="11" t="s">
        <v>39</v>
      </c>
      <c r="F9" s="12" t="s">
        <v>15</v>
      </c>
      <c r="G9" s="7" t="n">
        <v>9120</v>
      </c>
      <c r="H9" s="8" t="n">
        <v>16301</v>
      </c>
      <c r="I9" s="17" t="n">
        <v>70222</v>
      </c>
      <c r="J9" s="12" t="s">
        <v>25</v>
      </c>
      <c r="K9" s="16" t="n">
        <v>73</v>
      </c>
      <c r="L9" s="12" t="n">
        <v>0.39</v>
      </c>
      <c r="M9" s="12" t="n">
        <v>0.06</v>
      </c>
      <c r="N9" s="12" t="s">
        <v>18</v>
      </c>
      <c r="O9" s="12" t="s">
        <v>37</v>
      </c>
    </row>
    <row r="10" customFormat="false" ht="25.5" hidden="false" customHeight="false" outlineLevel="0" collapsed="false">
      <c r="C10" s="18" t="n">
        <v>9</v>
      </c>
      <c r="D10" s="19" t="s">
        <v>40</v>
      </c>
      <c r="E10" s="20" t="s">
        <v>41</v>
      </c>
      <c r="F10" s="18" t="s">
        <v>15</v>
      </c>
      <c r="G10" s="21" t="n">
        <v>9120</v>
      </c>
      <c r="H10" s="22" t="n">
        <v>16301</v>
      </c>
      <c r="I10" s="23" t="n">
        <v>70235</v>
      </c>
      <c r="J10" s="18" t="s">
        <v>25</v>
      </c>
      <c r="K10" s="24" t="n">
        <v>73</v>
      </c>
      <c r="L10" s="18" t="n">
        <v>0.39</v>
      </c>
      <c r="M10" s="18" t="n">
        <v>0.06</v>
      </c>
      <c r="N10" s="18" t="s">
        <v>18</v>
      </c>
      <c r="O10" s="18" t="s">
        <v>37</v>
      </c>
    </row>
    <row r="11" customFormat="false" ht="12.75" hidden="false" customHeight="false" outlineLevel="0" collapsed="false">
      <c r="C11" s="12"/>
      <c r="E11" s="11"/>
      <c r="F11" s="12"/>
      <c r="G11" s="12"/>
      <c r="H11" s="12"/>
      <c r="I11" s="25"/>
      <c r="J11" s="12"/>
      <c r="K11" s="16"/>
      <c r="L11" s="12"/>
      <c r="M11" s="12"/>
      <c r="N11" s="12"/>
      <c r="O11" s="12"/>
    </row>
    <row r="12" customFormat="false" ht="25.5" hidden="false" customHeight="false" outlineLevel="0" collapsed="false">
      <c r="A12" s="14" t="s">
        <v>42</v>
      </c>
      <c r="C12" s="12" t="n">
        <v>10</v>
      </c>
      <c r="D12" s="0" t="s">
        <v>43</v>
      </c>
      <c r="E12" s="11" t="s">
        <v>44</v>
      </c>
      <c r="F12" s="12" t="s">
        <v>45</v>
      </c>
      <c r="G12" s="26" t="n">
        <v>9120</v>
      </c>
      <c r="H12" s="12" t="s">
        <v>46</v>
      </c>
      <c r="I12" s="27" t="n">
        <v>70549</v>
      </c>
      <c r="J12" s="12" t="s">
        <v>16</v>
      </c>
      <c r="K12" s="11" t="s">
        <v>47</v>
      </c>
      <c r="L12" s="12"/>
      <c r="M12" s="12" t="n">
        <v>0.06</v>
      </c>
      <c r="N12" s="12" t="s">
        <v>18</v>
      </c>
      <c r="O12" s="12" t="s">
        <v>19</v>
      </c>
    </row>
    <row r="13" customFormat="false" ht="12.75" hidden="false" customHeight="false" outlineLevel="0" collapsed="false">
      <c r="A13" s="28"/>
      <c r="B13" s="28"/>
      <c r="C13" s="29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8"/>
    </row>
    <row r="14" customFormat="false" ht="12.75" hidden="false" customHeight="false" outlineLevel="0" collapsed="false">
      <c r="C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customFormat="false" ht="25.5" hidden="false" customHeight="false" outlineLevel="0" collapsed="false">
      <c r="C15" s="12" t="n">
        <v>6</v>
      </c>
      <c r="D15" s="0" t="s">
        <v>48</v>
      </c>
      <c r="E15" s="11" t="s">
        <v>49</v>
      </c>
      <c r="F15" s="12" t="s">
        <v>15</v>
      </c>
      <c r="G15" s="30" t="n">
        <v>4582</v>
      </c>
      <c r="H15" s="31" t="n">
        <v>16306</v>
      </c>
      <c r="I15" s="32" t="s">
        <v>50</v>
      </c>
      <c r="J15" s="12" t="s">
        <v>51</v>
      </c>
      <c r="K15" s="18" t="n">
        <v>2000</v>
      </c>
      <c r="L15" s="12"/>
      <c r="M15" s="12" t="n">
        <v>0.02</v>
      </c>
      <c r="N15" s="12" t="s">
        <v>52</v>
      </c>
      <c r="O15" s="11" t="s">
        <v>53</v>
      </c>
    </row>
    <row r="16" customFormat="false" ht="25.5" hidden="false" customHeight="false" outlineLevel="0" collapsed="false">
      <c r="C16" s="12" t="n">
        <v>7</v>
      </c>
      <c r="D16" s="0" t="s">
        <v>54</v>
      </c>
      <c r="E16" s="11" t="s">
        <v>55</v>
      </c>
      <c r="F16" s="12" t="s">
        <v>15</v>
      </c>
      <c r="G16" s="30" t="n">
        <v>4582</v>
      </c>
      <c r="H16" s="31" t="n">
        <v>16306</v>
      </c>
      <c r="I16" s="15" t="n">
        <v>70550</v>
      </c>
      <c r="J16" s="12" t="s">
        <v>56</v>
      </c>
      <c r="K16" s="33" t="s">
        <v>57</v>
      </c>
      <c r="L16" s="12"/>
      <c r="N16" s="12" t="n">
        <v>0.1089</v>
      </c>
      <c r="O16" s="12" t="s">
        <v>58</v>
      </c>
    </row>
    <row r="17" customFormat="false" ht="25.5" hidden="false" customHeight="false" outlineLevel="0" collapsed="false">
      <c r="C17" s="12" t="n">
        <v>5</v>
      </c>
      <c r="D17" s="0" t="s">
        <v>59</v>
      </c>
      <c r="E17" s="11" t="s">
        <v>49</v>
      </c>
      <c r="F17" s="12" t="s">
        <v>15</v>
      </c>
      <c r="G17" s="30" t="n">
        <v>2879</v>
      </c>
      <c r="H17" s="34" t="s">
        <v>60</v>
      </c>
      <c r="I17" s="35" t="n">
        <v>70499</v>
      </c>
      <c r="J17" s="12" t="s">
        <v>51</v>
      </c>
      <c r="K17" s="33" t="s">
        <v>61</v>
      </c>
      <c r="L17" s="12"/>
      <c r="M17" s="12" t="n">
        <v>0.02</v>
      </c>
      <c r="N17" s="12" t="s">
        <v>52</v>
      </c>
      <c r="O17" s="11" t="s">
        <v>53</v>
      </c>
    </row>
    <row r="18" customFormat="false" ht="12.75" hidden="false" customHeight="false" outlineLevel="0" collapsed="false">
      <c r="C18" s="12"/>
      <c r="E18" s="11"/>
      <c r="F18" s="12"/>
      <c r="G18" s="30"/>
      <c r="H18" s="36"/>
      <c r="I18" s="35"/>
      <c r="J18" s="12"/>
      <c r="K18" s="12"/>
      <c r="L18" s="12"/>
      <c r="M18" s="12"/>
      <c r="N18" s="12"/>
      <c r="O18" s="11"/>
    </row>
    <row r="19" customFormat="false" ht="12.75" hidden="false" customHeight="false" outlineLevel="0" collapsed="false">
      <c r="C19" s="12"/>
      <c r="E19" s="11"/>
      <c r="F19" s="12"/>
      <c r="G19" s="30"/>
      <c r="H19" s="36"/>
      <c r="I19" s="35"/>
      <c r="J19" s="12"/>
      <c r="K19" s="12"/>
      <c r="L19" s="12"/>
      <c r="M19" s="12"/>
      <c r="N19" s="12"/>
      <c r="O19" s="11"/>
    </row>
    <row r="20" customFormat="false" ht="12.75" hidden="false" customHeight="false" outlineLevel="0" collapsed="false">
      <c r="C20" s="37" t="s">
        <v>62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 t="s">
        <v>63</v>
      </c>
      <c r="O20" s="12"/>
    </row>
    <row r="22" customFormat="false" ht="12.75" hidden="false" customHeight="false" outlineLevel="0" collapsed="false">
      <c r="C22" s="40" t="s">
        <v>64</v>
      </c>
    </row>
    <row r="23" customFormat="false" ht="12.75" hidden="false" customHeight="false" outlineLevel="0" collapsed="false">
      <c r="A23" s="12"/>
      <c r="B23" s="12"/>
      <c r="C23" s="12" t="n">
        <v>1</v>
      </c>
      <c r="D23" s="12" t="s">
        <v>65</v>
      </c>
      <c r="E23" s="12" t="n">
        <v>4000</v>
      </c>
      <c r="F23" s="12" t="s">
        <v>66</v>
      </c>
      <c r="G23" s="12" t="n">
        <v>96002879</v>
      </c>
      <c r="H23" s="12" t="s">
        <v>67</v>
      </c>
      <c r="I23" s="12" t="n">
        <v>60952</v>
      </c>
      <c r="J23" s="12" t="s">
        <v>68</v>
      </c>
      <c r="K23" s="12" t="n">
        <v>2000</v>
      </c>
      <c r="L23" s="12" t="n">
        <v>-0.072</v>
      </c>
      <c r="M23" s="12" t="n">
        <v>0.002</v>
      </c>
      <c r="N23" s="12"/>
      <c r="O23" s="12" t="s">
        <v>69</v>
      </c>
    </row>
    <row r="30" customFormat="false" ht="12.75" hidden="false" customHeight="false" outlineLevel="0" collapsed="false">
      <c r="C30" s="40" t="s">
        <v>70</v>
      </c>
    </row>
    <row r="31" customFormat="false" ht="38.25" hidden="false" customHeight="false" outlineLevel="0" collapsed="false">
      <c r="C31" s="41" t="s">
        <v>71</v>
      </c>
      <c r="D31" s="42" t="s">
        <v>72</v>
      </c>
      <c r="J31" s="0" t="s">
        <v>73</v>
      </c>
    </row>
    <row r="32" customFormat="false" ht="12.75" hidden="false" customHeight="false" outlineLevel="0" collapsed="false">
      <c r="C32" s="43" t="n">
        <v>36465</v>
      </c>
      <c r="D32" s="0" t="n">
        <v>0.0401</v>
      </c>
    </row>
    <row r="33" customFormat="false" ht="12.75" hidden="false" customHeight="false" outlineLevel="0" collapsed="false">
      <c r="C33" s="43" t="n">
        <v>36495</v>
      </c>
      <c r="D33" s="0" t="n">
        <v>0.0357</v>
      </c>
    </row>
    <row r="34" customFormat="false" ht="12.75" hidden="false" customHeight="false" outlineLevel="0" collapsed="false">
      <c r="C34" s="43" t="n">
        <v>36526</v>
      </c>
      <c r="D34" s="0" t="n">
        <v>0.0279</v>
      </c>
    </row>
    <row r="35" customFormat="false" ht="12.75" hidden="false" customHeight="false" outlineLevel="0" collapsed="false">
      <c r="C35" s="43" t="n">
        <v>36557</v>
      </c>
      <c r="D35" s="0" t="n">
        <v>0.0277</v>
      </c>
    </row>
    <row r="36" customFormat="false" ht="12.75" hidden="false" customHeight="false" outlineLevel="0" collapsed="false">
      <c r="C36" s="43" t="n">
        <v>36586</v>
      </c>
      <c r="D36" s="0" t="n">
        <v>0.0281</v>
      </c>
    </row>
    <row r="37" customFormat="false" ht="12.75" hidden="false" customHeight="false" outlineLevel="0" collapsed="false">
      <c r="C37" s="43" t="n">
        <v>36831</v>
      </c>
      <c r="D37" s="0" t="n">
        <v>0.04</v>
      </c>
    </row>
    <row r="38" customFormat="false" ht="12.75" hidden="false" customHeight="false" outlineLevel="0" collapsed="false">
      <c r="C38" s="43" t="n">
        <v>36861</v>
      </c>
      <c r="D38" s="0" t="n">
        <v>0.0356</v>
      </c>
    </row>
    <row r="39" customFormat="false" ht="12.75" hidden="false" customHeight="false" outlineLevel="0" collapsed="false">
      <c r="C39" s="43" t="n">
        <v>36892</v>
      </c>
      <c r="D39" s="0" t="n">
        <v>0.0279</v>
      </c>
    </row>
    <row r="40" customFormat="false" ht="12.75" hidden="false" customHeight="false" outlineLevel="0" collapsed="false">
      <c r="C40" s="43" t="n">
        <v>36923</v>
      </c>
      <c r="D40" s="0" t="n">
        <v>0.0276</v>
      </c>
    </row>
    <row r="41" customFormat="false" ht="12.75" hidden="false" customHeight="false" outlineLevel="0" collapsed="false">
      <c r="C41" s="43" t="n">
        <v>36951</v>
      </c>
      <c r="D41" s="0" t="n">
        <v>0.028</v>
      </c>
    </row>
    <row r="42" customFormat="false" ht="12.75" hidden="false" customHeight="false" outlineLevel="0" collapsed="false">
      <c r="C42" s="43" t="n">
        <v>37196</v>
      </c>
      <c r="D42" s="0" t="n">
        <v>0.0399</v>
      </c>
    </row>
    <row r="43" customFormat="false" ht="12.75" hidden="false" customHeight="false" outlineLevel="0" collapsed="false">
      <c r="C43" s="43" t="n">
        <v>37226</v>
      </c>
      <c r="D43" s="0" t="n">
        <v>0.0356</v>
      </c>
    </row>
    <row r="44" customFormat="false" ht="12.75" hidden="false" customHeight="false" outlineLevel="0" collapsed="false">
      <c r="C44" s="43" t="n">
        <v>37257</v>
      </c>
      <c r="D44" s="0" t="n">
        <v>0.0279</v>
      </c>
    </row>
    <row r="45" customFormat="false" ht="12.75" hidden="false" customHeight="false" outlineLevel="0" collapsed="false">
      <c r="C45" s="43" t="n">
        <v>37288</v>
      </c>
      <c r="D45" s="0" t="n">
        <v>0.0276</v>
      </c>
    </row>
    <row r="46" customFormat="false" ht="12.75" hidden="false" customHeight="false" outlineLevel="0" collapsed="false">
      <c r="C46" s="43" t="n">
        <v>37316</v>
      </c>
      <c r="D46" s="0" t="n">
        <v>0.028</v>
      </c>
    </row>
    <row r="47" customFormat="false" ht="12.75" hidden="false" customHeight="false" outlineLevel="0" collapsed="false">
      <c r="C47" s="43" t="n">
        <v>37561</v>
      </c>
      <c r="D47" s="0" t="n">
        <v>0.02</v>
      </c>
    </row>
    <row r="48" customFormat="false" ht="12.75" hidden="false" customHeight="false" outlineLevel="0" collapsed="false">
      <c r="C48" s="43" t="n">
        <v>37591</v>
      </c>
      <c r="D48" s="0" t="n">
        <v>0.0237</v>
      </c>
    </row>
    <row r="49" customFormat="false" ht="12.75" hidden="false" customHeight="false" outlineLevel="0" collapsed="false">
      <c r="C49" s="43" t="n">
        <v>37622</v>
      </c>
      <c r="D49" s="0" t="n">
        <v>0.0184</v>
      </c>
    </row>
    <row r="50" customFormat="false" ht="12.75" hidden="false" customHeight="false" outlineLevel="0" collapsed="false">
      <c r="C50" s="43" t="n">
        <v>37653</v>
      </c>
      <c r="D50" s="0" t="n">
        <v>0.0142</v>
      </c>
    </row>
    <row r="51" customFormat="false" ht="12.75" hidden="false" customHeight="false" outlineLevel="0" collapsed="false">
      <c r="C51" s="43" t="n">
        <v>37681</v>
      </c>
      <c r="D51" s="0" t="n">
        <v>0.0118</v>
      </c>
    </row>
    <row r="52" customFormat="false" ht="12.75" hidden="false" customHeight="false" outlineLevel="0" collapsed="false">
      <c r="C52" s="43" t="n">
        <v>37926</v>
      </c>
      <c r="D52" s="0" t="n">
        <v>0.02</v>
      </c>
    </row>
    <row r="53" customFormat="false" ht="12.75" hidden="false" customHeight="false" outlineLevel="0" collapsed="false">
      <c r="C53" s="43" t="n">
        <v>37956</v>
      </c>
      <c r="D53" s="0" t="n">
        <v>0.0237</v>
      </c>
    </row>
    <row r="54" customFormat="false" ht="12.75" hidden="false" customHeight="false" outlineLevel="0" collapsed="false">
      <c r="C54" s="43" t="n">
        <v>37987</v>
      </c>
      <c r="D54" s="0" t="n">
        <v>0.0184</v>
      </c>
    </row>
    <row r="55" customFormat="false" ht="12.75" hidden="false" customHeight="false" outlineLevel="0" collapsed="false">
      <c r="C55" s="43" t="n">
        <v>38018</v>
      </c>
      <c r="D55" s="0" t="n">
        <v>0.0142</v>
      </c>
    </row>
    <row r="56" customFormat="false" ht="12.75" hidden="false" customHeight="false" outlineLevel="0" collapsed="false">
      <c r="C56" s="43" t="n">
        <v>38047</v>
      </c>
      <c r="D56" s="0" t="n">
        <v>0.0118</v>
      </c>
    </row>
    <row r="57" customFormat="false" ht="12.75" hidden="false" customHeight="false" outlineLevel="0" collapsed="false">
      <c r="C57" s="43" t="n">
        <v>38292</v>
      </c>
      <c r="D57" s="0" t="n">
        <v>0.02</v>
      </c>
    </row>
    <row r="58" customFormat="false" ht="12.75" hidden="false" customHeight="false" outlineLevel="0" collapsed="false">
      <c r="C58" s="43" t="n">
        <v>38322</v>
      </c>
      <c r="D58" s="0" t="n">
        <v>0.0237</v>
      </c>
    </row>
    <row r="59" customFormat="false" ht="12.75" hidden="false" customHeight="false" outlineLevel="0" collapsed="false">
      <c r="C59" s="43" t="n">
        <v>38353</v>
      </c>
      <c r="D59" s="0" t="n">
        <v>0.0184</v>
      </c>
    </row>
    <row r="60" customFormat="false" ht="12.75" hidden="false" customHeight="false" outlineLevel="0" collapsed="false">
      <c r="C60" s="43" t="n">
        <v>38384</v>
      </c>
      <c r="D60" s="0" t="n">
        <v>0.0142</v>
      </c>
    </row>
    <row r="61" customFormat="false" ht="12.75" hidden="false" customHeight="false" outlineLevel="0" collapsed="false">
      <c r="C61" s="43" t="n">
        <v>38412</v>
      </c>
      <c r="D61" s="0" t="n">
        <v>0.0118</v>
      </c>
    </row>
    <row r="62" customFormat="false" ht="12.75" hidden="false" customHeight="false" outlineLevel="0" collapsed="false">
      <c r="C62" s="43" t="n">
        <v>38657</v>
      </c>
      <c r="D62" s="0" t="n">
        <v>0.02</v>
      </c>
      <c r="F62" s="44" t="n">
        <v>4771187.153805</v>
      </c>
      <c r="H62" s="45"/>
    </row>
    <row r="63" customFormat="false" ht="12.75" hidden="false" customHeight="false" outlineLevel="0" collapsed="false">
      <c r="C63" s="43" t="n">
        <v>38687</v>
      </c>
      <c r="D63" s="0" t="n">
        <v>0.0237</v>
      </c>
      <c r="F63" s="44" t="n">
        <v>7921915.453899</v>
      </c>
      <c r="H63" s="45"/>
    </row>
    <row r="64" customFormat="false" ht="12.75" hidden="false" customHeight="false" outlineLevel="0" collapsed="false">
      <c r="C64" s="43" t="n">
        <v>38718</v>
      </c>
      <c r="D64" s="0" t="n">
        <v>0.0184</v>
      </c>
      <c r="F64" s="44" t="n">
        <v>9674800.272031</v>
      </c>
      <c r="H64" s="45"/>
    </row>
    <row r="65" customFormat="false" ht="12.75" hidden="false" customHeight="false" outlineLevel="0" collapsed="false">
      <c r="C65" s="43" t="n">
        <v>38749</v>
      </c>
      <c r="D65" s="0" t="n">
        <v>0.0142</v>
      </c>
      <c r="F65" s="44" t="n">
        <v>6801133.129891</v>
      </c>
      <c r="H65" s="45"/>
    </row>
    <row r="66" customFormat="false" ht="12.75" hidden="false" customHeight="false" outlineLevel="0" collapsed="false">
      <c r="C66" s="43" t="n">
        <v>38777</v>
      </c>
      <c r="D66" s="0" t="n">
        <v>0.0118</v>
      </c>
      <c r="F66" s="44" t="n">
        <v>5668267.639782</v>
      </c>
      <c r="H66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&amp;CEntex Deal 4/1/99 - 3/31/06
Details</oddHeader>
    <oddFooter>&amp;Co:\erms\1intra\texas\oa\monthly models\&amp;F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0.99"/>
  </cols>
  <sheetData>
    <row r="1" customFormat="false" ht="12.75" hidden="false" customHeight="false" outlineLevel="0" collapsed="false">
      <c r="B1" s="0" t="s">
        <v>74</v>
      </c>
    </row>
    <row r="2" customFormat="false" ht="25.5" hidden="false" customHeight="false" outlineLevel="0" collapsed="false">
      <c r="A2" s="2" t="s">
        <v>75</v>
      </c>
      <c r="B2" s="1" t="s">
        <v>76</v>
      </c>
    </row>
    <row r="3" customFormat="false" ht="12.75" hidden="false" customHeight="false" outlineLevel="0" collapsed="false">
      <c r="A3" s="46" t="n">
        <v>9904</v>
      </c>
      <c r="B3" s="47" t="n">
        <v>-958508</v>
      </c>
    </row>
    <row r="4" customFormat="false" ht="12.75" hidden="false" customHeight="false" outlineLevel="0" collapsed="false">
      <c r="A4" s="46" t="n">
        <v>9907</v>
      </c>
      <c r="B4" s="47" t="n">
        <v>1221859</v>
      </c>
    </row>
    <row r="5" customFormat="false" ht="12.75" hidden="false" customHeight="false" outlineLevel="0" collapsed="false">
      <c r="A5" s="46" t="n">
        <v>9908</v>
      </c>
      <c r="B5" s="47" t="n">
        <v>607814</v>
      </c>
    </row>
    <row r="6" customFormat="false" ht="12.75" hidden="false" customHeight="false" outlineLevel="0" collapsed="false">
      <c r="A6" s="46" t="n">
        <v>9909</v>
      </c>
      <c r="B6" s="47" t="n">
        <v>1332152</v>
      </c>
    </row>
    <row r="7" customFormat="false" ht="12.75" hidden="false" customHeight="false" outlineLevel="0" collapsed="false">
      <c r="A7" s="46" t="n">
        <v>9910</v>
      </c>
      <c r="B7" s="47" t="n">
        <v>216519</v>
      </c>
    </row>
    <row r="8" customFormat="false" ht="12.75" hidden="false" customHeight="false" outlineLevel="0" collapsed="false">
      <c r="A8" s="46" t="n">
        <v>9911</v>
      </c>
      <c r="B8" s="47" t="n">
        <f aca="false">-650000-547000</f>
        <v>-1197000</v>
      </c>
    </row>
    <row r="9" customFormat="false" ht="12.75" hidden="false" customHeight="false" outlineLevel="0" collapsed="false">
      <c r="A9" s="46"/>
      <c r="B9" s="47"/>
    </row>
    <row r="10" customFormat="false" ht="12.75" hidden="false" customHeight="false" outlineLevel="0" collapsed="false">
      <c r="A10" s="46"/>
      <c r="B10" s="47"/>
    </row>
    <row r="11" customFormat="false" ht="12.75" hidden="false" customHeight="false" outlineLevel="0" collapsed="false">
      <c r="A11" s="46"/>
      <c r="B11" s="47"/>
    </row>
    <row r="12" customFormat="false" ht="12.75" hidden="false" customHeight="false" outlineLevel="0" collapsed="false">
      <c r="A12" s="46"/>
      <c r="B12" s="47"/>
    </row>
    <row r="13" customFormat="false" ht="12.75" hidden="false" customHeight="false" outlineLevel="0" collapsed="false">
      <c r="A13" s="46"/>
      <c r="B13" s="47"/>
    </row>
    <row r="14" customFormat="false" ht="12.75" hidden="false" customHeight="false" outlineLevel="0" collapsed="false">
      <c r="A14" s="46"/>
      <c r="B14" s="47"/>
    </row>
    <row r="15" customFormat="false" ht="12.75" hidden="false" customHeight="false" outlineLevel="0" collapsed="false">
      <c r="A15" s="46"/>
      <c r="B15" s="47"/>
    </row>
    <row r="16" customFormat="false" ht="12.75" hidden="false" customHeight="false" outlineLevel="0" collapsed="false">
      <c r="A16" s="46"/>
      <c r="B16" s="47"/>
    </row>
    <row r="17" customFormat="false" ht="12.75" hidden="false" customHeight="false" outlineLevel="0" collapsed="false">
      <c r="A17" s="46"/>
      <c r="B17" s="47"/>
    </row>
    <row r="18" customFormat="false" ht="12.75" hidden="false" customHeight="false" outlineLevel="0" collapsed="false">
      <c r="A18" s="46"/>
      <c r="B18" s="47"/>
    </row>
    <row r="19" customFormat="false" ht="12.75" hidden="false" customHeight="false" outlineLevel="0" collapsed="false">
      <c r="A19" s="46"/>
      <c r="B19" s="47"/>
    </row>
    <row r="20" customFormat="false" ht="12.75" hidden="false" customHeight="false" outlineLevel="0" collapsed="false">
      <c r="A20" s="46"/>
      <c r="B20" s="47"/>
    </row>
    <row r="21" customFormat="false" ht="12.75" hidden="false" customHeight="false" outlineLevel="0" collapsed="false">
      <c r="A21" s="46"/>
      <c r="B21" s="47"/>
    </row>
    <row r="22" customFormat="false" ht="12.75" hidden="false" customHeight="false" outlineLevel="0" collapsed="false">
      <c r="A22" s="46"/>
      <c r="B22" s="47"/>
    </row>
    <row r="23" customFormat="false" ht="12.75" hidden="false" customHeight="false" outlineLevel="0" collapsed="false">
      <c r="A23" s="46"/>
      <c r="B23" s="47"/>
    </row>
    <row r="24" customFormat="false" ht="12.75" hidden="false" customHeight="false" outlineLevel="0" collapsed="false">
      <c r="A24" s="46"/>
      <c r="B24" s="47"/>
    </row>
    <row r="25" customFormat="false" ht="12.75" hidden="false" customHeight="false" outlineLevel="0" collapsed="false">
      <c r="A25" s="46"/>
      <c r="B25" s="47"/>
    </row>
    <row r="26" customFormat="false" ht="12.75" hidden="false" customHeight="false" outlineLevel="0" collapsed="false">
      <c r="A26" s="46"/>
      <c r="B26" s="47"/>
    </row>
    <row r="27" customFormat="false" ht="12.75" hidden="false" customHeight="false" outlineLevel="0" collapsed="false">
      <c r="A27" s="46"/>
      <c r="B27" s="47"/>
    </row>
    <row r="28" customFormat="false" ht="12.75" hidden="false" customHeight="false" outlineLevel="0" collapsed="false">
      <c r="A28" s="46"/>
      <c r="B28" s="47"/>
    </row>
    <row r="29" customFormat="false" ht="12.75" hidden="false" customHeight="false" outlineLevel="0" collapsed="false">
      <c r="A29" s="46"/>
      <c r="B29" s="47"/>
    </row>
    <row r="30" customFormat="false" ht="12.75" hidden="false" customHeight="false" outlineLevel="0" collapsed="false">
      <c r="A30" s="46"/>
      <c r="B30" s="47"/>
    </row>
    <row r="31" customFormat="false" ht="12.75" hidden="false" customHeight="false" outlineLevel="0" collapsed="false">
      <c r="A31" s="46"/>
      <c r="B31" s="47"/>
    </row>
    <row r="32" customFormat="false" ht="12.75" hidden="false" customHeight="false" outlineLevel="0" collapsed="false">
      <c r="A32" s="46"/>
      <c r="B32" s="47"/>
    </row>
    <row r="33" customFormat="false" ht="12.75" hidden="false" customHeight="false" outlineLevel="0" collapsed="false">
      <c r="A33" s="46"/>
      <c r="B33" s="47"/>
    </row>
    <row r="34" customFormat="false" ht="12.75" hidden="false" customHeight="false" outlineLevel="0" collapsed="false">
      <c r="A34" s="46"/>
      <c r="B34" s="47"/>
    </row>
    <row r="35" customFormat="false" ht="12.75" hidden="false" customHeight="false" outlineLevel="0" collapsed="false">
      <c r="A35" s="46"/>
      <c r="B35" s="47"/>
    </row>
    <row r="36" customFormat="false" ht="12.75" hidden="false" customHeight="false" outlineLevel="0" collapsed="false">
      <c r="A36" s="46"/>
      <c r="B36" s="47"/>
    </row>
    <row r="37" customFormat="false" ht="12.75" hidden="false" customHeight="false" outlineLevel="0" collapsed="false">
      <c r="A37" s="46"/>
      <c r="B37" s="47"/>
    </row>
    <row r="38" customFormat="false" ht="12.75" hidden="false" customHeight="false" outlineLevel="0" collapsed="false">
      <c r="A38" s="46"/>
      <c r="B38" s="47"/>
    </row>
    <row r="39" customFormat="false" ht="12.75" hidden="false" customHeight="false" outlineLevel="0" collapsed="false">
      <c r="A39" s="46"/>
      <c r="B39" s="47"/>
    </row>
    <row r="40" customFormat="false" ht="12.75" hidden="false" customHeight="false" outlineLevel="0" collapsed="false">
      <c r="A40" s="46"/>
      <c r="B40" s="47"/>
    </row>
    <row r="41" customFormat="false" ht="12.75" hidden="false" customHeight="false" outlineLevel="0" collapsed="false">
      <c r="A41" s="46"/>
      <c r="B41" s="47"/>
    </row>
    <row r="42" customFormat="false" ht="12.75" hidden="false" customHeight="false" outlineLevel="0" collapsed="false">
      <c r="A42" s="46"/>
      <c r="B42" s="47"/>
    </row>
    <row r="43" customFormat="false" ht="12.75" hidden="false" customHeight="false" outlineLevel="0" collapsed="false">
      <c r="A43" s="46"/>
      <c r="B43" s="47"/>
    </row>
    <row r="44" customFormat="false" ht="12.75" hidden="false" customHeight="false" outlineLevel="0" collapsed="false">
      <c r="A44" s="46"/>
      <c r="B44" s="47"/>
    </row>
    <row r="45" customFormat="false" ht="12.75" hidden="false" customHeight="false" outlineLevel="0" collapsed="false">
      <c r="A45" s="46"/>
      <c r="B45" s="47"/>
    </row>
    <row r="46" customFormat="false" ht="12.75" hidden="false" customHeight="false" outlineLevel="0" collapsed="false">
      <c r="A46" s="46"/>
      <c r="B46" s="47"/>
    </row>
    <row r="47" customFormat="false" ht="12.75" hidden="false" customHeight="false" outlineLevel="0" collapsed="false">
      <c r="A47" s="46"/>
      <c r="B47" s="47"/>
    </row>
    <row r="48" customFormat="false" ht="12.75" hidden="false" customHeight="false" outlineLevel="0" collapsed="false">
      <c r="A48" s="46"/>
      <c r="B48" s="47"/>
    </row>
    <row r="49" customFormat="false" ht="12.75" hidden="false" customHeight="false" outlineLevel="0" collapsed="false">
      <c r="A49" s="46"/>
      <c r="B49" s="47"/>
    </row>
    <row r="50" customFormat="false" ht="12.75" hidden="false" customHeight="false" outlineLevel="0" collapsed="false">
      <c r="A50" s="46"/>
      <c r="B50" s="47"/>
    </row>
    <row r="51" customFormat="false" ht="12.75" hidden="false" customHeight="false" outlineLevel="0" collapsed="false">
      <c r="A51" s="46"/>
      <c r="B51" s="47"/>
    </row>
    <row r="52" customFormat="false" ht="12.75" hidden="false" customHeight="false" outlineLevel="0" collapsed="false">
      <c r="A52" s="46"/>
      <c r="B52" s="47"/>
    </row>
    <row r="53" customFormat="false" ht="12.75" hidden="false" customHeight="false" outlineLevel="0" collapsed="false">
      <c r="A53" s="46"/>
      <c r="B53" s="47"/>
    </row>
    <row r="54" customFormat="false" ht="12.75" hidden="false" customHeight="false" outlineLevel="0" collapsed="false">
      <c r="A54" s="46"/>
      <c r="B54" s="47"/>
    </row>
    <row r="55" customFormat="false" ht="12.75" hidden="false" customHeight="false" outlineLevel="0" collapsed="false">
      <c r="A55" s="46"/>
      <c r="B55" s="47"/>
    </row>
    <row r="56" customFormat="false" ht="12.75" hidden="false" customHeight="false" outlineLevel="0" collapsed="false">
      <c r="A56" s="46"/>
      <c r="B56" s="47"/>
    </row>
    <row r="57" customFormat="false" ht="12.75" hidden="false" customHeight="false" outlineLevel="0" collapsed="false">
      <c r="A57" s="46"/>
      <c r="B57" s="47"/>
    </row>
    <row r="58" customFormat="false" ht="12.75" hidden="false" customHeight="false" outlineLevel="0" collapsed="false">
      <c r="A58" s="46"/>
      <c r="B58" s="47"/>
    </row>
    <row r="59" customFormat="false" ht="12.75" hidden="false" customHeight="false" outlineLevel="0" collapsed="false">
      <c r="A59" s="46"/>
      <c r="B59" s="47"/>
    </row>
    <row r="60" customFormat="false" ht="12.75" hidden="false" customHeight="false" outlineLevel="0" collapsed="false">
      <c r="A60" s="46"/>
      <c r="B60" s="47"/>
    </row>
    <row r="61" customFormat="false" ht="12.75" hidden="false" customHeight="false" outlineLevel="0" collapsed="false">
      <c r="A61" s="46"/>
      <c r="B61" s="47"/>
    </row>
    <row r="62" customFormat="false" ht="12.75" hidden="false" customHeight="false" outlineLevel="0" collapsed="false">
      <c r="A62" s="46"/>
      <c r="B62" s="47"/>
    </row>
    <row r="63" customFormat="false" ht="12.75" hidden="false" customHeight="false" outlineLevel="0" collapsed="false">
      <c r="A63" s="46"/>
      <c r="B63" s="47"/>
    </row>
    <row r="64" customFormat="false" ht="12.75" hidden="false" customHeight="false" outlineLevel="0" collapsed="false">
      <c r="A64" s="46"/>
      <c r="B64" s="47"/>
    </row>
    <row r="65" customFormat="false" ht="12.75" hidden="false" customHeight="false" outlineLevel="0" collapsed="false">
      <c r="A65" s="46"/>
      <c r="B65" s="47"/>
    </row>
    <row r="66" customFormat="false" ht="12.75" hidden="false" customHeight="false" outlineLevel="0" collapsed="false">
      <c r="A66" s="46"/>
      <c r="B66" s="47"/>
    </row>
    <row r="67" customFormat="false" ht="12.75" hidden="false" customHeight="false" outlineLevel="0" collapsed="false">
      <c r="A67" s="46"/>
      <c r="B67" s="47"/>
    </row>
    <row r="68" customFormat="false" ht="12.75" hidden="false" customHeight="false" outlineLevel="0" collapsed="false">
      <c r="A68" s="46"/>
      <c r="B68" s="47"/>
    </row>
    <row r="69" customFormat="false" ht="12.75" hidden="false" customHeight="false" outlineLevel="0" collapsed="false">
      <c r="A69" s="46"/>
      <c r="B69" s="47"/>
    </row>
    <row r="70" customFormat="false" ht="12.75" hidden="false" customHeight="false" outlineLevel="0" collapsed="false">
      <c r="A70" s="46"/>
      <c r="B70" s="47"/>
    </row>
    <row r="71" customFormat="false" ht="12.75" hidden="false" customHeight="false" outlineLevel="0" collapsed="false">
      <c r="A71" s="46"/>
      <c r="B71" s="47"/>
    </row>
    <row r="72" customFormat="false" ht="12.75" hidden="false" customHeight="false" outlineLevel="0" collapsed="false">
      <c r="A72" s="46"/>
      <c r="B72" s="47"/>
    </row>
    <row r="73" customFormat="false" ht="12.75" hidden="false" customHeight="false" outlineLevel="0" collapsed="false">
      <c r="A73" s="46"/>
      <c r="B73" s="47"/>
    </row>
    <row r="74" customFormat="false" ht="12.75" hidden="false" customHeight="false" outlineLevel="0" collapsed="false">
      <c r="A74" s="46"/>
      <c r="B74" s="47"/>
    </row>
    <row r="75" customFormat="false" ht="12.75" hidden="false" customHeight="false" outlineLevel="0" collapsed="false">
      <c r="A75" s="46"/>
      <c r="B75" s="47"/>
    </row>
    <row r="76" customFormat="false" ht="12.75" hidden="false" customHeight="false" outlineLevel="0" collapsed="false">
      <c r="A76" s="46"/>
      <c r="B76" s="47"/>
    </row>
    <row r="77" customFormat="false" ht="12.75" hidden="false" customHeight="false" outlineLevel="0" collapsed="false">
      <c r="A77" s="46"/>
      <c r="B77" s="47"/>
    </row>
    <row r="78" customFormat="false" ht="12.75" hidden="false" customHeight="false" outlineLevel="0" collapsed="false">
      <c r="A78" s="46"/>
      <c r="B78" s="47"/>
    </row>
    <row r="79" customFormat="false" ht="12.75" hidden="false" customHeight="false" outlineLevel="0" collapsed="false">
      <c r="A79" s="46"/>
      <c r="B79" s="47"/>
    </row>
    <row r="80" customFormat="false" ht="12.75" hidden="false" customHeight="false" outlineLevel="0" collapsed="false">
      <c r="A80" s="46"/>
      <c r="B80" s="47"/>
    </row>
    <row r="81" customFormat="false" ht="12.75" hidden="false" customHeight="false" outlineLevel="0" collapsed="false">
      <c r="A81" s="46"/>
      <c r="B81" s="47"/>
    </row>
    <row r="82" customFormat="false" ht="12.75" hidden="false" customHeight="false" outlineLevel="0" collapsed="false">
      <c r="A82" s="46"/>
      <c r="B82" s="47"/>
    </row>
    <row r="83" customFormat="false" ht="12.75" hidden="false" customHeight="false" outlineLevel="0" collapsed="false">
      <c r="A83" s="46"/>
      <c r="B83" s="47"/>
    </row>
    <row r="84" customFormat="false" ht="12.75" hidden="false" customHeight="false" outlineLevel="0" collapsed="false">
      <c r="A84" s="46"/>
      <c r="B84" s="47"/>
    </row>
    <row r="85" customFormat="false" ht="12.75" hidden="false" customHeight="false" outlineLevel="0" collapsed="false">
      <c r="A85" s="46"/>
      <c r="B85" s="47"/>
    </row>
    <row r="86" customFormat="false" ht="12.75" hidden="false" customHeight="false" outlineLevel="0" collapsed="false">
      <c r="A86" s="46"/>
      <c r="B86" s="47"/>
    </row>
    <row r="87" customFormat="false" ht="12.75" hidden="false" customHeight="false" outlineLevel="0" collapsed="false">
      <c r="A87" s="46"/>
      <c r="B87" s="47"/>
    </row>
    <row r="88" customFormat="false" ht="12.75" hidden="false" customHeight="false" outlineLevel="0" collapsed="false">
      <c r="A88" s="46"/>
      <c r="B88" s="47"/>
    </row>
    <row r="89" customFormat="false" ht="12.75" hidden="false" customHeight="false" outlineLevel="0" collapsed="false">
      <c r="A89" s="46"/>
      <c r="B89" s="47"/>
    </row>
    <row r="90" customFormat="false" ht="12.75" hidden="false" customHeight="false" outlineLevel="0" collapsed="false">
      <c r="A90" s="46"/>
      <c r="B90" s="47"/>
    </row>
    <row r="91" customFormat="false" ht="12.75" hidden="false" customHeight="false" outlineLevel="0" collapsed="false">
      <c r="A91" s="46"/>
      <c r="B91" s="47"/>
    </row>
    <row r="92" customFormat="false" ht="12.75" hidden="false" customHeight="false" outlineLevel="0" collapsed="false">
      <c r="A92" s="46"/>
      <c r="B92" s="47"/>
    </row>
    <row r="93" customFormat="false" ht="12.75" hidden="false" customHeight="false" outlineLevel="0" collapsed="false">
      <c r="A93" s="46"/>
      <c r="B93" s="47"/>
    </row>
    <row r="94" customFormat="false" ht="12.75" hidden="false" customHeight="false" outlineLevel="0" collapsed="false">
      <c r="A94" s="46"/>
      <c r="B94" s="47"/>
    </row>
    <row r="95" customFormat="false" ht="12.75" hidden="false" customHeight="false" outlineLevel="0" collapsed="false">
      <c r="A95" s="46"/>
      <c r="B95" s="47"/>
    </row>
    <row r="96" customFormat="false" ht="12.75" hidden="false" customHeight="false" outlineLevel="0" collapsed="false">
      <c r="A96" s="46"/>
      <c r="B96" s="47"/>
    </row>
    <row r="97" customFormat="false" ht="12.75" hidden="false" customHeight="false" outlineLevel="0" collapsed="false">
      <c r="A97" s="46"/>
      <c r="B97" s="47"/>
    </row>
    <row r="98" customFormat="false" ht="12.75" hidden="false" customHeight="false" outlineLevel="0" collapsed="false">
      <c r="A98" s="46"/>
      <c r="B98" s="47"/>
    </row>
    <row r="99" customFormat="false" ht="12.75" hidden="false" customHeight="false" outlineLevel="0" collapsed="false">
      <c r="A99" s="46"/>
      <c r="B99" s="47"/>
    </row>
    <row r="100" customFormat="false" ht="12.75" hidden="false" customHeight="false" outlineLevel="0" collapsed="false">
      <c r="A100" s="46"/>
      <c r="B100" s="47"/>
    </row>
    <row r="101" customFormat="false" ht="12.75" hidden="false" customHeight="false" outlineLevel="0" collapsed="false">
      <c r="A101" s="46"/>
      <c r="B101" s="47"/>
    </row>
    <row r="102" customFormat="false" ht="12.75" hidden="false" customHeight="false" outlineLevel="0" collapsed="false">
      <c r="A102" s="46"/>
      <c r="B102" s="47"/>
    </row>
    <row r="103" customFormat="false" ht="12.75" hidden="false" customHeight="false" outlineLevel="0" collapsed="false">
      <c r="A103" s="46"/>
      <c r="B103" s="47"/>
    </row>
    <row r="104" customFormat="false" ht="12.75" hidden="false" customHeight="false" outlineLevel="0" collapsed="false">
      <c r="A104" s="46"/>
      <c r="B104" s="47"/>
    </row>
    <row r="105" customFormat="false" ht="12.75" hidden="false" customHeight="false" outlineLevel="0" collapsed="false">
      <c r="A105" s="46"/>
      <c r="B105" s="47"/>
    </row>
    <row r="106" customFormat="false" ht="12.75" hidden="false" customHeight="false" outlineLevel="0" collapsed="false">
      <c r="A106" s="46"/>
      <c r="B106" s="47"/>
    </row>
    <row r="107" customFormat="false" ht="12.75" hidden="false" customHeight="false" outlineLevel="0" collapsed="false">
      <c r="A107" s="46"/>
      <c r="B107" s="47"/>
    </row>
    <row r="108" customFormat="false" ht="12.75" hidden="false" customHeight="false" outlineLevel="0" collapsed="false">
      <c r="A108" s="46"/>
      <c r="B108" s="47"/>
    </row>
    <row r="109" customFormat="false" ht="12.75" hidden="false" customHeight="false" outlineLevel="0" collapsed="false">
      <c r="A109" s="46"/>
      <c r="B109" s="47"/>
    </row>
    <row r="110" customFormat="false" ht="12.75" hidden="false" customHeight="false" outlineLevel="0" collapsed="false">
      <c r="A110" s="46"/>
      <c r="B110" s="47"/>
    </row>
    <row r="111" customFormat="false" ht="12.75" hidden="false" customHeight="false" outlineLevel="0" collapsed="false">
      <c r="A111" s="46"/>
      <c r="B111" s="47"/>
    </row>
    <row r="112" customFormat="false" ht="12.75" hidden="false" customHeight="false" outlineLevel="0" collapsed="false">
      <c r="A112" s="46"/>
      <c r="B112" s="47"/>
    </row>
    <row r="113" customFormat="false" ht="12.75" hidden="false" customHeight="false" outlineLevel="0" collapsed="false">
      <c r="A113" s="46"/>
      <c r="B113" s="47"/>
    </row>
    <row r="114" customFormat="false" ht="12.75" hidden="false" customHeight="false" outlineLevel="0" collapsed="false">
      <c r="A114" s="46"/>
      <c r="B114" s="47"/>
    </row>
    <row r="115" customFormat="false" ht="12.75" hidden="false" customHeight="false" outlineLevel="0" collapsed="false">
      <c r="A115" s="46"/>
      <c r="B115" s="47"/>
    </row>
    <row r="116" customFormat="false" ht="12.75" hidden="false" customHeight="false" outlineLevel="0" collapsed="false">
      <c r="A116" s="46"/>
      <c r="B116" s="47"/>
    </row>
    <row r="117" customFormat="false" ht="12.75" hidden="false" customHeight="false" outlineLevel="0" collapsed="false">
      <c r="A117" s="46"/>
      <c r="B117" s="47"/>
    </row>
    <row r="118" customFormat="false" ht="12.75" hidden="false" customHeight="false" outlineLevel="0" collapsed="false">
      <c r="A118" s="46"/>
      <c r="B118" s="47"/>
    </row>
    <row r="119" customFormat="false" ht="12.75" hidden="false" customHeight="false" outlineLevel="0" collapsed="false">
      <c r="A119" s="46"/>
      <c r="B119" s="47"/>
    </row>
    <row r="120" customFormat="false" ht="12.75" hidden="false" customHeight="false" outlineLevel="0" collapsed="false">
      <c r="A120" s="46"/>
      <c r="B120" s="47"/>
    </row>
    <row r="121" customFormat="false" ht="12.75" hidden="false" customHeight="false" outlineLevel="0" collapsed="false">
      <c r="A121" s="46"/>
      <c r="B121" s="47"/>
    </row>
    <row r="122" customFormat="false" ht="12.75" hidden="false" customHeight="false" outlineLevel="0" collapsed="false">
      <c r="A122" s="46"/>
      <c r="B122" s="47"/>
    </row>
    <row r="123" customFormat="false" ht="12.75" hidden="false" customHeight="false" outlineLevel="0" collapsed="false">
      <c r="A123" s="46"/>
      <c r="B123" s="47"/>
    </row>
    <row r="124" customFormat="false" ht="12.75" hidden="false" customHeight="false" outlineLevel="0" collapsed="false">
      <c r="A124" s="46"/>
      <c r="B124" s="47"/>
    </row>
    <row r="125" customFormat="false" ht="12.75" hidden="false" customHeight="false" outlineLevel="0" collapsed="false">
      <c r="A125" s="46"/>
      <c r="B125" s="47"/>
    </row>
    <row r="126" customFormat="false" ht="12.75" hidden="false" customHeight="false" outlineLevel="0" collapsed="false">
      <c r="A126" s="46"/>
      <c r="B126" s="47"/>
    </row>
    <row r="127" customFormat="false" ht="12.75" hidden="false" customHeight="false" outlineLevel="0" collapsed="false">
      <c r="A127" s="46"/>
      <c r="B127" s="47"/>
    </row>
    <row r="128" customFormat="false" ht="12.75" hidden="false" customHeight="false" outlineLevel="0" collapsed="false">
      <c r="A128" s="46"/>
      <c r="B128" s="47"/>
    </row>
    <row r="129" customFormat="false" ht="12.75" hidden="false" customHeight="false" outlineLevel="0" collapsed="false">
      <c r="A129" s="46"/>
      <c r="B129" s="47"/>
    </row>
    <row r="130" customFormat="false" ht="12.75" hidden="false" customHeight="false" outlineLevel="0" collapsed="false">
      <c r="A130" s="46"/>
      <c r="B130" s="47"/>
    </row>
    <row r="131" customFormat="false" ht="12.75" hidden="false" customHeight="false" outlineLevel="0" collapsed="false">
      <c r="A131" s="46"/>
      <c r="B131" s="47"/>
    </row>
    <row r="132" customFormat="false" ht="12.75" hidden="false" customHeight="false" outlineLevel="0" collapsed="false">
      <c r="A132" s="46"/>
      <c r="B132" s="47"/>
    </row>
    <row r="133" customFormat="false" ht="12.75" hidden="false" customHeight="false" outlineLevel="0" collapsed="false">
      <c r="A133" s="46"/>
      <c r="B133" s="47"/>
    </row>
    <row r="134" customFormat="false" ht="12.75" hidden="false" customHeight="false" outlineLevel="0" collapsed="false">
      <c r="A134" s="46"/>
      <c r="B134" s="47"/>
    </row>
    <row r="135" customFormat="false" ht="12.75" hidden="false" customHeight="false" outlineLevel="0" collapsed="false">
      <c r="A135" s="46"/>
      <c r="B135" s="47"/>
    </row>
    <row r="136" customFormat="false" ht="12.75" hidden="false" customHeight="false" outlineLevel="0" collapsed="false">
      <c r="A136" s="46"/>
      <c r="B136" s="47"/>
    </row>
    <row r="137" customFormat="false" ht="12.75" hidden="false" customHeight="false" outlineLevel="0" collapsed="false">
      <c r="A137" s="46"/>
      <c r="B137" s="47"/>
    </row>
    <row r="138" customFormat="false" ht="12.75" hidden="false" customHeight="false" outlineLevel="0" collapsed="false">
      <c r="A138" s="46"/>
      <c r="B138" s="47"/>
    </row>
    <row r="139" customFormat="false" ht="12.75" hidden="false" customHeight="false" outlineLevel="0" collapsed="false">
      <c r="A139" s="46"/>
      <c r="B139" s="47"/>
    </row>
    <row r="140" customFormat="false" ht="12.75" hidden="false" customHeight="false" outlineLevel="0" collapsed="false">
      <c r="A140" s="46"/>
      <c r="B140" s="47"/>
    </row>
    <row r="141" customFormat="false" ht="12.75" hidden="false" customHeight="false" outlineLevel="0" collapsed="false">
      <c r="A141" s="46"/>
      <c r="B141" s="47"/>
    </row>
    <row r="142" customFormat="false" ht="12.75" hidden="false" customHeight="false" outlineLevel="0" collapsed="false">
      <c r="A142" s="46"/>
      <c r="B142" s="47"/>
    </row>
    <row r="143" customFormat="false" ht="12.75" hidden="false" customHeight="false" outlineLevel="0" collapsed="false">
      <c r="A143" s="46"/>
      <c r="B143" s="47"/>
    </row>
    <row r="144" customFormat="false" ht="12.75" hidden="false" customHeight="false" outlineLevel="0" collapsed="false">
      <c r="A144" s="46"/>
      <c r="B144" s="47"/>
    </row>
    <row r="145" customFormat="false" ht="12.75" hidden="false" customHeight="false" outlineLevel="0" collapsed="false">
      <c r="A145" s="46"/>
      <c r="B145" s="47"/>
    </row>
    <row r="146" customFormat="false" ht="12.75" hidden="false" customHeight="false" outlineLevel="0" collapsed="false">
      <c r="A146" s="46"/>
      <c r="B146" s="47"/>
    </row>
    <row r="147" customFormat="false" ht="12.75" hidden="false" customHeight="false" outlineLevel="0" collapsed="false">
      <c r="A147" s="46"/>
      <c r="B147" s="47"/>
    </row>
    <row r="148" customFormat="false" ht="12.75" hidden="false" customHeight="false" outlineLevel="0" collapsed="false">
      <c r="A148" s="46"/>
      <c r="B148" s="47"/>
    </row>
    <row r="149" customFormat="false" ht="12.75" hidden="false" customHeight="false" outlineLevel="0" collapsed="false">
      <c r="A149" s="46"/>
      <c r="B149" s="47"/>
    </row>
    <row r="150" customFormat="false" ht="12.75" hidden="false" customHeight="false" outlineLevel="0" collapsed="false">
      <c r="A150" s="46"/>
      <c r="B150" s="47"/>
    </row>
    <row r="151" customFormat="false" ht="12.75" hidden="false" customHeight="false" outlineLevel="0" collapsed="false">
      <c r="A151" s="46"/>
      <c r="B151" s="47"/>
    </row>
    <row r="152" customFormat="false" ht="12.75" hidden="false" customHeight="false" outlineLevel="0" collapsed="false">
      <c r="A152" s="46"/>
      <c r="B152" s="47"/>
    </row>
    <row r="153" customFormat="false" ht="12.75" hidden="false" customHeight="false" outlineLevel="0" collapsed="false">
      <c r="A153" s="46"/>
      <c r="B153" s="47"/>
    </row>
    <row r="154" customFormat="false" ht="12.75" hidden="false" customHeight="false" outlineLevel="0" collapsed="false">
      <c r="A154" s="46"/>
      <c r="B154" s="47"/>
    </row>
    <row r="155" customFormat="false" ht="12.75" hidden="false" customHeight="false" outlineLevel="0" collapsed="false">
      <c r="A155" s="46"/>
      <c r="B155" s="47"/>
    </row>
    <row r="156" customFormat="false" ht="12.75" hidden="false" customHeight="false" outlineLevel="0" collapsed="false">
      <c r="A156" s="46"/>
      <c r="B156" s="47"/>
    </row>
    <row r="157" customFormat="false" ht="12.75" hidden="false" customHeight="false" outlineLevel="0" collapsed="false">
      <c r="A157" s="46"/>
      <c r="B157" s="47"/>
    </row>
    <row r="158" customFormat="false" ht="12.75" hidden="false" customHeight="false" outlineLevel="0" collapsed="false">
      <c r="A158" s="46"/>
      <c r="B158" s="47"/>
    </row>
    <row r="159" customFormat="false" ht="12.75" hidden="false" customHeight="false" outlineLevel="0" collapsed="false">
      <c r="A159" s="46"/>
      <c r="B159" s="47"/>
    </row>
    <row r="160" customFormat="false" ht="12.75" hidden="false" customHeight="false" outlineLevel="0" collapsed="false">
      <c r="A160" s="46"/>
      <c r="B160" s="47"/>
    </row>
    <row r="161" customFormat="false" ht="12.75" hidden="false" customHeight="false" outlineLevel="0" collapsed="false">
      <c r="A161" s="46"/>
      <c r="B161" s="47"/>
    </row>
    <row r="162" customFormat="false" ht="12.75" hidden="false" customHeight="false" outlineLevel="0" collapsed="false">
      <c r="A162" s="46"/>
      <c r="B162" s="47"/>
    </row>
    <row r="163" customFormat="false" ht="12.75" hidden="false" customHeight="false" outlineLevel="0" collapsed="false">
      <c r="A163" s="46"/>
      <c r="B163" s="47"/>
    </row>
    <row r="164" customFormat="false" ht="12.75" hidden="false" customHeight="false" outlineLevel="0" collapsed="false">
      <c r="A164" s="46"/>
      <c r="B164" s="47"/>
    </row>
    <row r="165" customFormat="false" ht="12.75" hidden="false" customHeight="false" outlineLevel="0" collapsed="false">
      <c r="A165" s="46"/>
      <c r="B165" s="47"/>
    </row>
    <row r="166" customFormat="false" ht="12.75" hidden="false" customHeight="false" outlineLevel="0" collapsed="false">
      <c r="A166" s="46"/>
      <c r="B166" s="47"/>
    </row>
    <row r="167" customFormat="false" ht="12.75" hidden="false" customHeight="false" outlineLevel="0" collapsed="false">
      <c r="A167" s="46"/>
      <c r="B167" s="47"/>
    </row>
    <row r="168" customFormat="false" ht="12.75" hidden="false" customHeight="false" outlineLevel="0" collapsed="false">
      <c r="A168" s="46"/>
      <c r="B168" s="47"/>
    </row>
    <row r="169" customFormat="false" ht="12.75" hidden="false" customHeight="false" outlineLevel="0" collapsed="false">
      <c r="A169" s="46"/>
      <c r="B169" s="47"/>
    </row>
    <row r="170" customFormat="false" ht="12.75" hidden="false" customHeight="false" outlineLevel="0" collapsed="false">
      <c r="A170" s="46"/>
      <c r="B170" s="47"/>
    </row>
    <row r="171" customFormat="false" ht="12.75" hidden="false" customHeight="false" outlineLevel="0" collapsed="false">
      <c r="A171" s="46"/>
      <c r="B171" s="47"/>
    </row>
    <row r="172" customFormat="false" ht="12.75" hidden="false" customHeight="false" outlineLevel="0" collapsed="false">
      <c r="A172" s="46"/>
      <c r="B172" s="47"/>
    </row>
    <row r="173" customFormat="false" ht="12.75" hidden="false" customHeight="false" outlineLevel="0" collapsed="false">
      <c r="A173" s="46"/>
      <c r="B173" s="47"/>
    </row>
    <row r="174" customFormat="false" ht="12.75" hidden="false" customHeight="false" outlineLevel="0" collapsed="false">
      <c r="A174" s="46"/>
      <c r="B174" s="47"/>
    </row>
    <row r="175" customFormat="false" ht="12.75" hidden="false" customHeight="false" outlineLevel="0" collapsed="false">
      <c r="A175" s="46"/>
      <c r="B175" s="47"/>
    </row>
    <row r="176" customFormat="false" ht="12.75" hidden="false" customHeight="false" outlineLevel="0" collapsed="false">
      <c r="A176" s="46"/>
      <c r="B176" s="47"/>
    </row>
    <row r="177" customFormat="false" ht="12.75" hidden="false" customHeight="false" outlineLevel="0" collapsed="false">
      <c r="A177" s="46"/>
      <c r="B177" s="47"/>
    </row>
    <row r="178" customFormat="false" ht="12.75" hidden="false" customHeight="false" outlineLevel="0" collapsed="false">
      <c r="A178" s="46"/>
      <c r="B178" s="47"/>
    </row>
    <row r="179" customFormat="false" ht="12.75" hidden="false" customHeight="false" outlineLevel="0" collapsed="false">
      <c r="A179" s="46"/>
      <c r="B179" s="47"/>
    </row>
    <row r="180" customFormat="false" ht="12.75" hidden="false" customHeight="false" outlineLevel="0" collapsed="false">
      <c r="A180" s="46"/>
      <c r="B180" s="47"/>
    </row>
    <row r="181" customFormat="false" ht="12.75" hidden="false" customHeight="false" outlineLevel="0" collapsed="false">
      <c r="A181" s="46"/>
      <c r="B181" s="47"/>
    </row>
    <row r="182" customFormat="false" ht="12.75" hidden="false" customHeight="false" outlineLevel="0" collapsed="false">
      <c r="A182" s="46"/>
      <c r="B182" s="47"/>
    </row>
    <row r="183" customFormat="false" ht="12.75" hidden="false" customHeight="false" outlineLevel="0" collapsed="false">
      <c r="A183" s="46"/>
      <c r="B183" s="47"/>
    </row>
    <row r="184" customFormat="false" ht="12.75" hidden="false" customHeight="false" outlineLevel="0" collapsed="false">
      <c r="A184" s="46"/>
      <c r="B184" s="47"/>
    </row>
    <row r="185" customFormat="false" ht="12.75" hidden="false" customHeight="false" outlineLevel="0" collapsed="false">
      <c r="A185" s="46"/>
      <c r="B185" s="47"/>
    </row>
    <row r="186" customFormat="false" ht="12.75" hidden="false" customHeight="false" outlineLevel="0" collapsed="false">
      <c r="A186" s="46"/>
      <c r="B186" s="47"/>
    </row>
    <row r="187" customFormat="false" ht="12.75" hidden="false" customHeight="false" outlineLevel="0" collapsed="false">
      <c r="A187" s="46"/>
      <c r="B187" s="47"/>
    </row>
    <row r="188" customFormat="false" ht="12.75" hidden="false" customHeight="false" outlineLevel="0" collapsed="false">
      <c r="A188" s="46"/>
      <c r="B188" s="47"/>
    </row>
    <row r="189" customFormat="false" ht="12.75" hidden="false" customHeight="false" outlineLevel="0" collapsed="false">
      <c r="A189" s="46"/>
      <c r="B189" s="47"/>
    </row>
    <row r="190" customFormat="false" ht="12.75" hidden="false" customHeight="false" outlineLevel="0" collapsed="false">
      <c r="A190" s="46"/>
      <c r="B190" s="47"/>
    </row>
    <row r="191" customFormat="false" ht="12.75" hidden="false" customHeight="false" outlineLevel="0" collapsed="false">
      <c r="A191" s="46"/>
      <c r="B191" s="47"/>
    </row>
    <row r="192" customFormat="false" ht="12.75" hidden="false" customHeight="false" outlineLevel="0" collapsed="false">
      <c r="A192" s="46"/>
      <c r="B192" s="47"/>
    </row>
    <row r="193" customFormat="false" ht="12.75" hidden="false" customHeight="false" outlineLevel="0" collapsed="false">
      <c r="A193" s="46"/>
      <c r="B193" s="47"/>
    </row>
    <row r="194" customFormat="false" ht="12.75" hidden="false" customHeight="false" outlineLevel="0" collapsed="false">
      <c r="A194" s="46"/>
      <c r="B194" s="47"/>
    </row>
    <row r="195" customFormat="false" ht="12.75" hidden="false" customHeight="false" outlineLevel="0" collapsed="false">
      <c r="A195" s="46"/>
      <c r="B195" s="47"/>
    </row>
    <row r="196" customFormat="false" ht="12.75" hidden="false" customHeight="false" outlineLevel="0" collapsed="false">
      <c r="A196" s="46"/>
      <c r="B196" s="47"/>
    </row>
    <row r="197" customFormat="false" ht="12.75" hidden="false" customHeight="false" outlineLevel="0" collapsed="false">
      <c r="A197" s="46"/>
      <c r="B197" s="47"/>
    </row>
    <row r="198" customFormat="false" ht="12.75" hidden="false" customHeight="false" outlineLevel="0" collapsed="false">
      <c r="A198" s="46"/>
      <c r="B198" s="47"/>
    </row>
    <row r="199" customFormat="false" ht="12.75" hidden="false" customHeight="false" outlineLevel="0" collapsed="false">
      <c r="A199" s="46"/>
      <c r="B199" s="47"/>
    </row>
    <row r="200" customFormat="false" ht="12.75" hidden="false" customHeight="false" outlineLevel="0" collapsed="false">
      <c r="A200" s="46"/>
      <c r="B200" s="47"/>
    </row>
    <row r="201" customFormat="false" ht="12.75" hidden="false" customHeight="false" outlineLevel="0" collapsed="false">
      <c r="A201" s="46"/>
      <c r="B201" s="47"/>
    </row>
    <row r="202" customFormat="false" ht="12.75" hidden="false" customHeight="false" outlineLevel="0" collapsed="false">
      <c r="A202" s="46"/>
      <c r="B202" s="47"/>
    </row>
    <row r="203" customFormat="false" ht="12.75" hidden="false" customHeight="false" outlineLevel="0" collapsed="false">
      <c r="A203" s="46"/>
      <c r="B203" s="47"/>
    </row>
    <row r="204" customFormat="false" ht="12.75" hidden="false" customHeight="false" outlineLevel="0" collapsed="false">
      <c r="A204" s="46"/>
      <c r="B204" s="47"/>
    </row>
    <row r="205" customFormat="false" ht="12.75" hidden="false" customHeight="false" outlineLevel="0" collapsed="false">
      <c r="A205" s="46"/>
      <c r="B205" s="47"/>
    </row>
    <row r="206" customFormat="false" ht="12.75" hidden="false" customHeight="false" outlineLevel="0" collapsed="false">
      <c r="A206" s="46"/>
      <c r="B206" s="47"/>
    </row>
    <row r="207" customFormat="false" ht="12.75" hidden="false" customHeight="false" outlineLevel="0" collapsed="false">
      <c r="A207" s="46"/>
      <c r="B207" s="47"/>
    </row>
    <row r="208" customFormat="false" ht="12.75" hidden="false" customHeight="false" outlineLevel="0" collapsed="false">
      <c r="A208" s="46"/>
      <c r="B208" s="47"/>
    </row>
    <row r="209" customFormat="false" ht="12.75" hidden="false" customHeight="false" outlineLevel="0" collapsed="false">
      <c r="A209" s="46"/>
      <c r="B209" s="47"/>
    </row>
    <row r="210" customFormat="false" ht="12.75" hidden="false" customHeight="false" outlineLevel="0" collapsed="false">
      <c r="A210" s="46"/>
      <c r="B210" s="47"/>
    </row>
    <row r="211" customFormat="false" ht="12.75" hidden="false" customHeight="false" outlineLevel="0" collapsed="false">
      <c r="A211" s="46"/>
      <c r="B211" s="47"/>
    </row>
    <row r="212" customFormat="false" ht="12.75" hidden="false" customHeight="false" outlineLevel="0" collapsed="false">
      <c r="A212" s="46"/>
      <c r="B212" s="47"/>
    </row>
    <row r="213" customFormat="false" ht="12.75" hidden="false" customHeight="false" outlineLevel="0" collapsed="false">
      <c r="A213" s="46"/>
      <c r="B213" s="47"/>
    </row>
    <row r="214" customFormat="false" ht="12.75" hidden="false" customHeight="false" outlineLevel="0" collapsed="false">
      <c r="A214" s="46"/>
      <c r="B214" s="47"/>
    </row>
    <row r="215" customFormat="false" ht="12.75" hidden="false" customHeight="false" outlineLevel="0" collapsed="false">
      <c r="A215" s="46"/>
      <c r="B215" s="47"/>
    </row>
    <row r="216" customFormat="false" ht="12.75" hidden="false" customHeight="false" outlineLevel="0" collapsed="false">
      <c r="A216" s="46"/>
      <c r="B216" s="47"/>
    </row>
    <row r="217" customFormat="false" ht="12.75" hidden="false" customHeight="false" outlineLevel="0" collapsed="false">
      <c r="A217" s="46"/>
      <c r="B217" s="47"/>
    </row>
    <row r="218" customFormat="false" ht="12.75" hidden="false" customHeight="false" outlineLevel="0" collapsed="false">
      <c r="A218" s="46"/>
      <c r="B218" s="47"/>
    </row>
    <row r="219" customFormat="false" ht="12.75" hidden="false" customHeight="false" outlineLevel="0" collapsed="false">
      <c r="A219" s="46"/>
      <c r="B219" s="47"/>
    </row>
    <row r="220" customFormat="false" ht="12.75" hidden="false" customHeight="false" outlineLevel="0" collapsed="false">
      <c r="A220" s="46"/>
      <c r="B220" s="47"/>
    </row>
    <row r="221" customFormat="false" ht="12.75" hidden="false" customHeight="false" outlineLevel="0" collapsed="false">
      <c r="A221" s="46"/>
      <c r="B221" s="47"/>
    </row>
    <row r="222" customFormat="false" ht="12.75" hidden="false" customHeight="false" outlineLevel="0" collapsed="false">
      <c r="A222" s="46"/>
      <c r="B222" s="47"/>
    </row>
    <row r="223" customFormat="false" ht="12.75" hidden="false" customHeight="false" outlineLevel="0" collapsed="false">
      <c r="A223" s="46"/>
      <c r="B223" s="47"/>
    </row>
    <row r="224" customFormat="false" ht="12.75" hidden="false" customHeight="false" outlineLevel="0" collapsed="false">
      <c r="A224" s="46"/>
      <c r="B224" s="47"/>
    </row>
    <row r="225" customFormat="false" ht="12.75" hidden="false" customHeight="false" outlineLevel="0" collapsed="false">
      <c r="A225" s="46"/>
      <c r="B225" s="47"/>
    </row>
    <row r="226" customFormat="false" ht="12.75" hidden="false" customHeight="false" outlineLevel="0" collapsed="false">
      <c r="A226" s="46"/>
      <c r="B226" s="47"/>
    </row>
    <row r="227" customFormat="false" ht="12.75" hidden="false" customHeight="false" outlineLevel="0" collapsed="false">
      <c r="A227" s="46"/>
      <c r="B227" s="47"/>
    </row>
    <row r="228" customFormat="false" ht="12.75" hidden="false" customHeight="false" outlineLevel="0" collapsed="false">
      <c r="A228" s="46"/>
      <c r="B228" s="47"/>
    </row>
    <row r="229" customFormat="false" ht="12.75" hidden="false" customHeight="false" outlineLevel="0" collapsed="false">
      <c r="A229" s="46"/>
      <c r="B229" s="47"/>
    </row>
    <row r="230" customFormat="false" ht="12.75" hidden="false" customHeight="false" outlineLevel="0" collapsed="false">
      <c r="A230" s="46"/>
      <c r="B230" s="47"/>
    </row>
    <row r="231" customFormat="false" ht="12.75" hidden="false" customHeight="false" outlineLevel="0" collapsed="false">
      <c r="A231" s="46"/>
      <c r="B231" s="47"/>
    </row>
    <row r="232" customFormat="false" ht="12.75" hidden="false" customHeight="false" outlineLevel="0" collapsed="false">
      <c r="A232" s="46"/>
      <c r="B232" s="47"/>
    </row>
    <row r="233" customFormat="false" ht="12.75" hidden="false" customHeight="false" outlineLevel="0" collapsed="false">
      <c r="A233" s="46"/>
      <c r="B233" s="47"/>
    </row>
    <row r="234" customFormat="false" ht="12.75" hidden="false" customHeight="false" outlineLevel="0" collapsed="false">
      <c r="A234" s="46"/>
      <c r="B234" s="47"/>
    </row>
    <row r="235" customFormat="false" ht="12.75" hidden="false" customHeight="false" outlineLevel="0" collapsed="false">
      <c r="A235" s="46"/>
      <c r="B235" s="47"/>
    </row>
    <row r="236" customFormat="false" ht="12.75" hidden="false" customHeight="false" outlineLevel="0" collapsed="false">
      <c r="A236" s="46"/>
      <c r="B236" s="47"/>
    </row>
    <row r="237" customFormat="false" ht="12.75" hidden="false" customHeight="false" outlineLevel="0" collapsed="false">
      <c r="A237" s="46"/>
      <c r="B237" s="47"/>
    </row>
    <row r="238" customFormat="false" ht="12.75" hidden="false" customHeight="false" outlineLevel="0" collapsed="false">
      <c r="A238" s="46"/>
      <c r="B238" s="47"/>
    </row>
    <row r="239" customFormat="false" ht="12.75" hidden="false" customHeight="false" outlineLevel="0" collapsed="false">
      <c r="A239" s="46"/>
      <c r="B239" s="47"/>
    </row>
    <row r="240" customFormat="false" ht="12.75" hidden="false" customHeight="false" outlineLevel="0" collapsed="false">
      <c r="A240" s="46"/>
      <c r="B240" s="47"/>
    </row>
    <row r="241" customFormat="false" ht="12.75" hidden="false" customHeight="false" outlineLevel="0" collapsed="false">
      <c r="A241" s="46"/>
      <c r="B241" s="47"/>
    </row>
    <row r="242" customFormat="false" ht="12.75" hidden="false" customHeight="false" outlineLevel="0" collapsed="false">
      <c r="A242" s="46"/>
      <c r="B242" s="47"/>
    </row>
    <row r="243" customFormat="false" ht="12.75" hidden="false" customHeight="false" outlineLevel="0" collapsed="false">
      <c r="A243" s="46"/>
      <c r="B243" s="47"/>
    </row>
    <row r="244" customFormat="false" ht="12.75" hidden="false" customHeight="false" outlineLevel="0" collapsed="false">
      <c r="A244" s="46"/>
      <c r="B244" s="47"/>
    </row>
    <row r="245" customFormat="false" ht="12.75" hidden="false" customHeight="false" outlineLevel="0" collapsed="false">
      <c r="A245" s="46"/>
      <c r="B245" s="47"/>
    </row>
    <row r="246" customFormat="false" ht="12.75" hidden="false" customHeight="false" outlineLevel="0" collapsed="false">
      <c r="A246" s="46"/>
      <c r="B246" s="47"/>
    </row>
    <row r="247" customFormat="false" ht="12.75" hidden="false" customHeight="false" outlineLevel="0" collapsed="false">
      <c r="A247" s="46"/>
      <c r="B247" s="47"/>
    </row>
    <row r="248" customFormat="false" ht="12.75" hidden="false" customHeight="false" outlineLevel="0" collapsed="false">
      <c r="A248" s="46"/>
      <c r="B248" s="47"/>
    </row>
    <row r="249" customFormat="false" ht="12.75" hidden="false" customHeight="false" outlineLevel="0" collapsed="false">
      <c r="A249" s="46"/>
      <c r="B249" s="47"/>
    </row>
    <row r="250" customFormat="false" ht="12.75" hidden="false" customHeight="false" outlineLevel="0" collapsed="false">
      <c r="A250" s="46"/>
      <c r="B250" s="47"/>
    </row>
    <row r="251" customFormat="false" ht="12.75" hidden="false" customHeight="false" outlineLevel="0" collapsed="false">
      <c r="A251" s="46"/>
      <c r="B251" s="47"/>
    </row>
    <row r="252" customFormat="false" ht="12.75" hidden="false" customHeight="false" outlineLevel="0" collapsed="false">
      <c r="A252" s="46"/>
      <c r="B252" s="47"/>
    </row>
    <row r="253" customFormat="false" ht="12.75" hidden="false" customHeight="false" outlineLevel="0" collapsed="false">
      <c r="A253" s="46"/>
      <c r="B253" s="47"/>
    </row>
    <row r="254" customFormat="false" ht="12.75" hidden="false" customHeight="false" outlineLevel="0" collapsed="false">
      <c r="A254" s="46"/>
      <c r="B254" s="47"/>
    </row>
    <row r="255" customFormat="false" ht="12.75" hidden="false" customHeight="false" outlineLevel="0" collapsed="false">
      <c r="A255" s="46"/>
      <c r="B255" s="47"/>
    </row>
    <row r="256" customFormat="false" ht="12.75" hidden="false" customHeight="false" outlineLevel="0" collapsed="false">
      <c r="A256" s="46"/>
      <c r="B256" s="47"/>
    </row>
    <row r="257" customFormat="false" ht="12.75" hidden="false" customHeight="false" outlineLevel="0" collapsed="false">
      <c r="A257" s="46"/>
      <c r="B257" s="47"/>
    </row>
    <row r="258" customFormat="false" ht="12.75" hidden="false" customHeight="false" outlineLevel="0" collapsed="false">
      <c r="A258" s="46"/>
      <c r="B258" s="47"/>
    </row>
    <row r="259" customFormat="false" ht="12.75" hidden="false" customHeight="false" outlineLevel="0" collapsed="false">
      <c r="A259" s="46"/>
      <c r="B259" s="47"/>
    </row>
    <row r="260" customFormat="false" ht="12.75" hidden="false" customHeight="false" outlineLevel="0" collapsed="false">
      <c r="A260" s="46"/>
      <c r="B260" s="47"/>
    </row>
    <row r="261" customFormat="false" ht="12.75" hidden="false" customHeight="false" outlineLevel="0" collapsed="false">
      <c r="A261" s="46"/>
      <c r="B261" s="47"/>
    </row>
    <row r="262" customFormat="false" ht="12.75" hidden="false" customHeight="false" outlineLevel="0" collapsed="false">
      <c r="A262" s="46"/>
      <c r="B262" s="47"/>
    </row>
    <row r="263" customFormat="false" ht="12.75" hidden="false" customHeight="false" outlineLevel="0" collapsed="false">
      <c r="A263" s="46"/>
      <c r="B263" s="47"/>
    </row>
    <row r="264" customFormat="false" ht="12.75" hidden="false" customHeight="false" outlineLevel="0" collapsed="false">
      <c r="A264" s="46"/>
      <c r="B264" s="47"/>
    </row>
    <row r="265" customFormat="false" ht="12.75" hidden="false" customHeight="false" outlineLevel="0" collapsed="false">
      <c r="A265" s="46"/>
      <c r="B265" s="47"/>
    </row>
    <row r="266" customFormat="false" ht="12.75" hidden="false" customHeight="false" outlineLevel="0" collapsed="false">
      <c r="A266" s="46"/>
      <c r="B266" s="47"/>
    </row>
    <row r="267" customFormat="false" ht="12.75" hidden="false" customHeight="false" outlineLevel="0" collapsed="false">
      <c r="A267" s="46"/>
      <c r="B267" s="47"/>
    </row>
    <row r="268" customFormat="false" ht="12.75" hidden="false" customHeight="false" outlineLevel="0" collapsed="false">
      <c r="A268" s="46"/>
      <c r="B268" s="47"/>
    </row>
    <row r="269" customFormat="false" ht="12.75" hidden="false" customHeight="false" outlineLevel="0" collapsed="false">
      <c r="A269" s="46"/>
      <c r="B269" s="47"/>
    </row>
    <row r="270" customFormat="false" ht="12.75" hidden="false" customHeight="false" outlineLevel="0" collapsed="false">
      <c r="A270" s="46"/>
      <c r="B270" s="47"/>
    </row>
    <row r="271" customFormat="false" ht="12.75" hidden="false" customHeight="false" outlineLevel="0" collapsed="false">
      <c r="A271" s="46"/>
      <c r="B271" s="47"/>
    </row>
    <row r="272" customFormat="false" ht="12.75" hidden="false" customHeight="false" outlineLevel="0" collapsed="false">
      <c r="A272" s="46"/>
      <c r="B272" s="47"/>
    </row>
    <row r="273" customFormat="false" ht="12.75" hidden="false" customHeight="false" outlineLevel="0" collapsed="false">
      <c r="A273" s="46"/>
      <c r="B273" s="47"/>
    </row>
    <row r="274" customFormat="false" ht="12.75" hidden="false" customHeight="false" outlineLevel="0" collapsed="false">
      <c r="A274" s="46"/>
      <c r="B274" s="47"/>
    </row>
    <row r="275" customFormat="false" ht="12.75" hidden="false" customHeight="false" outlineLevel="0" collapsed="false">
      <c r="A275" s="46"/>
      <c r="B275" s="47"/>
    </row>
    <row r="276" customFormat="false" ht="12.75" hidden="false" customHeight="false" outlineLevel="0" collapsed="false">
      <c r="A276" s="46"/>
      <c r="B276" s="47"/>
    </row>
    <row r="277" customFormat="false" ht="12.75" hidden="false" customHeight="false" outlineLevel="0" collapsed="false">
      <c r="A277" s="46"/>
      <c r="B277" s="47"/>
    </row>
    <row r="278" customFormat="false" ht="12.75" hidden="false" customHeight="false" outlineLevel="0" collapsed="false">
      <c r="A278" s="46"/>
      <c r="B278" s="47"/>
    </row>
    <row r="279" customFormat="false" ht="12.75" hidden="false" customHeight="false" outlineLevel="0" collapsed="false">
      <c r="A279" s="46"/>
      <c r="B279" s="47"/>
    </row>
    <row r="280" customFormat="false" ht="12.75" hidden="false" customHeight="false" outlineLevel="0" collapsed="false">
      <c r="A280" s="46"/>
      <c r="B280" s="47"/>
    </row>
    <row r="281" customFormat="false" ht="12.75" hidden="false" customHeight="false" outlineLevel="0" collapsed="false">
      <c r="A281" s="46"/>
      <c r="B281" s="47"/>
    </row>
    <row r="282" customFormat="false" ht="12.75" hidden="false" customHeight="false" outlineLevel="0" collapsed="false">
      <c r="A282" s="46"/>
      <c r="B282" s="47"/>
    </row>
    <row r="283" customFormat="false" ht="12.75" hidden="false" customHeight="false" outlineLevel="0" collapsed="false">
      <c r="A283" s="46"/>
      <c r="B283" s="47"/>
    </row>
    <row r="284" customFormat="false" ht="12.75" hidden="false" customHeight="false" outlineLevel="0" collapsed="false">
      <c r="A284" s="46"/>
      <c r="B284" s="47"/>
    </row>
    <row r="285" customFormat="false" ht="12.75" hidden="false" customHeight="false" outlineLevel="0" collapsed="false">
      <c r="A285" s="46"/>
      <c r="B285" s="47"/>
    </row>
    <row r="286" customFormat="false" ht="12.75" hidden="false" customHeight="false" outlineLevel="0" collapsed="false">
      <c r="A286" s="46"/>
      <c r="B286" s="47"/>
    </row>
    <row r="287" customFormat="false" ht="12.75" hidden="false" customHeight="false" outlineLevel="0" collapsed="false">
      <c r="A287" s="46"/>
      <c r="B287" s="47"/>
    </row>
    <row r="288" customFormat="false" ht="12.75" hidden="false" customHeight="false" outlineLevel="0" collapsed="false">
      <c r="A288" s="46"/>
      <c r="B288" s="47"/>
    </row>
    <row r="289" customFormat="false" ht="12.75" hidden="false" customHeight="false" outlineLevel="0" collapsed="false">
      <c r="A289" s="46"/>
      <c r="B289" s="47"/>
    </row>
    <row r="290" customFormat="false" ht="12.75" hidden="false" customHeight="false" outlineLevel="0" collapsed="false">
      <c r="A290" s="46"/>
      <c r="B290" s="47"/>
    </row>
    <row r="291" customFormat="false" ht="12.75" hidden="false" customHeight="false" outlineLevel="0" collapsed="false">
      <c r="A291" s="46"/>
      <c r="B291" s="47"/>
    </row>
    <row r="292" customFormat="false" ht="12.75" hidden="false" customHeight="false" outlineLevel="0" collapsed="false">
      <c r="A292" s="46"/>
      <c r="B292" s="47"/>
    </row>
    <row r="293" customFormat="false" ht="12.75" hidden="false" customHeight="false" outlineLevel="0" collapsed="false">
      <c r="A293" s="46"/>
      <c r="B293" s="47"/>
    </row>
    <row r="294" customFormat="false" ht="12.75" hidden="false" customHeight="false" outlineLevel="0" collapsed="false">
      <c r="A294" s="46"/>
      <c r="B294" s="47"/>
    </row>
    <row r="295" customFormat="false" ht="12.75" hidden="false" customHeight="false" outlineLevel="0" collapsed="false">
      <c r="A295" s="46"/>
      <c r="B295" s="47"/>
    </row>
    <row r="296" customFormat="false" ht="12.75" hidden="false" customHeight="false" outlineLevel="0" collapsed="false">
      <c r="A296" s="46"/>
      <c r="B296" s="47"/>
    </row>
    <row r="297" customFormat="false" ht="12.75" hidden="false" customHeight="false" outlineLevel="0" collapsed="false">
      <c r="A297" s="46"/>
      <c r="B297" s="47"/>
    </row>
    <row r="298" customFormat="false" ht="12.75" hidden="false" customHeight="false" outlineLevel="0" collapsed="false">
      <c r="A298" s="46"/>
      <c r="B298" s="47"/>
    </row>
    <row r="299" customFormat="false" ht="12.75" hidden="false" customHeight="false" outlineLevel="0" collapsed="false">
      <c r="A299" s="46"/>
      <c r="B299" s="47"/>
    </row>
    <row r="300" customFormat="false" ht="12.75" hidden="false" customHeight="false" outlineLevel="0" collapsed="false">
      <c r="A300" s="46"/>
      <c r="B300" s="47"/>
    </row>
    <row r="301" customFormat="false" ht="12.75" hidden="false" customHeight="false" outlineLevel="0" collapsed="false">
      <c r="A301" s="46"/>
      <c r="B301" s="47"/>
    </row>
    <row r="302" customFormat="false" ht="12.75" hidden="false" customHeight="false" outlineLevel="0" collapsed="false">
      <c r="A302" s="46"/>
      <c r="B302" s="47"/>
    </row>
    <row r="303" customFormat="false" ht="12.75" hidden="false" customHeight="false" outlineLevel="0" collapsed="false">
      <c r="A303" s="46"/>
      <c r="B303" s="47"/>
    </row>
    <row r="304" customFormat="false" ht="12.75" hidden="false" customHeight="false" outlineLevel="0" collapsed="false">
      <c r="A304" s="46"/>
      <c r="B304" s="47"/>
    </row>
    <row r="305" customFormat="false" ht="12.75" hidden="false" customHeight="false" outlineLevel="0" collapsed="false">
      <c r="A305" s="46"/>
      <c r="B305" s="47"/>
    </row>
    <row r="306" customFormat="false" ht="12.75" hidden="false" customHeight="false" outlineLevel="0" collapsed="false">
      <c r="A306" s="46"/>
      <c r="B306" s="47"/>
    </row>
    <row r="307" customFormat="false" ht="12.75" hidden="false" customHeight="false" outlineLevel="0" collapsed="false">
      <c r="A307" s="46"/>
      <c r="B307" s="47"/>
    </row>
    <row r="308" customFormat="false" ht="12.75" hidden="false" customHeight="false" outlineLevel="0" collapsed="false">
      <c r="A308" s="46"/>
      <c r="B308" s="47"/>
    </row>
    <row r="309" customFormat="false" ht="12.75" hidden="false" customHeight="false" outlineLevel="0" collapsed="false">
      <c r="A309" s="46"/>
      <c r="B309" s="47"/>
    </row>
    <row r="310" customFormat="false" ht="12.75" hidden="false" customHeight="false" outlineLevel="0" collapsed="false">
      <c r="A310" s="46"/>
      <c r="B310" s="47"/>
    </row>
    <row r="311" customFormat="false" ht="12.75" hidden="false" customHeight="false" outlineLevel="0" collapsed="false">
      <c r="A311" s="46"/>
      <c r="B311" s="47"/>
    </row>
    <row r="312" customFormat="false" ht="12.75" hidden="false" customHeight="false" outlineLevel="0" collapsed="false">
      <c r="A312" s="46"/>
      <c r="B312" s="47"/>
    </row>
    <row r="313" customFormat="false" ht="12.75" hidden="false" customHeight="false" outlineLevel="0" collapsed="false">
      <c r="A313" s="46"/>
      <c r="B313" s="47"/>
    </row>
    <row r="314" customFormat="false" ht="12.75" hidden="false" customHeight="false" outlineLevel="0" collapsed="false">
      <c r="A314" s="46"/>
      <c r="B314" s="47"/>
    </row>
    <row r="315" customFormat="false" ht="12.75" hidden="false" customHeight="false" outlineLevel="0" collapsed="false">
      <c r="A315" s="46"/>
      <c r="B315" s="47"/>
    </row>
    <row r="316" customFormat="false" ht="12.75" hidden="false" customHeight="false" outlineLevel="0" collapsed="false">
      <c r="A316" s="46"/>
      <c r="B316" s="47"/>
    </row>
    <row r="317" customFormat="false" ht="12.75" hidden="false" customHeight="false" outlineLevel="0" collapsed="false">
      <c r="A317" s="46"/>
      <c r="B317" s="47"/>
    </row>
    <row r="318" customFormat="false" ht="12.75" hidden="false" customHeight="false" outlineLevel="0" collapsed="false">
      <c r="A318" s="46"/>
      <c r="B318" s="47"/>
    </row>
    <row r="319" customFormat="false" ht="12.75" hidden="false" customHeight="false" outlineLevel="0" collapsed="false">
      <c r="A319" s="46"/>
      <c r="B319" s="47"/>
    </row>
    <row r="320" customFormat="false" ht="12.75" hidden="false" customHeight="false" outlineLevel="0" collapsed="false">
      <c r="A320" s="46"/>
      <c r="B320" s="47"/>
    </row>
    <row r="321" customFormat="false" ht="12.75" hidden="false" customHeight="false" outlineLevel="0" collapsed="false">
      <c r="A321" s="46"/>
      <c r="B321" s="47"/>
    </row>
    <row r="322" customFormat="false" ht="12.75" hidden="false" customHeight="false" outlineLevel="0" collapsed="false">
      <c r="A322" s="46"/>
      <c r="B322" s="47"/>
    </row>
    <row r="323" customFormat="false" ht="12.75" hidden="false" customHeight="false" outlineLevel="0" collapsed="false">
      <c r="A323" s="46"/>
      <c r="B323" s="47"/>
    </row>
    <row r="324" customFormat="false" ht="12.75" hidden="false" customHeight="false" outlineLevel="0" collapsed="false">
      <c r="A324" s="46"/>
      <c r="B324" s="47"/>
    </row>
    <row r="325" customFormat="false" ht="12.75" hidden="false" customHeight="false" outlineLevel="0" collapsed="false">
      <c r="A325" s="46"/>
      <c r="B325" s="47"/>
    </row>
    <row r="326" customFormat="false" ht="12.75" hidden="false" customHeight="false" outlineLevel="0" collapsed="false">
      <c r="A326" s="46"/>
      <c r="B326" s="48"/>
    </row>
    <row r="327" customFormat="false" ht="12.75" hidden="false" customHeight="false" outlineLevel="0" collapsed="false">
      <c r="A327" s="46"/>
      <c r="B327" s="48"/>
    </row>
    <row r="328" customFormat="false" ht="12.75" hidden="false" customHeight="false" outlineLevel="0" collapsed="false">
      <c r="A328" s="46"/>
      <c r="B328" s="48"/>
    </row>
    <row r="329" customFormat="false" ht="12.75" hidden="false" customHeight="false" outlineLevel="0" collapsed="false">
      <c r="A329" s="46"/>
      <c r="B329" s="48"/>
    </row>
    <row r="330" customFormat="false" ht="12.75" hidden="false" customHeight="false" outlineLevel="0" collapsed="false">
      <c r="A330" s="46"/>
      <c r="B330" s="48"/>
    </row>
    <row r="331" customFormat="false" ht="12.75" hidden="false" customHeight="false" outlineLevel="0" collapsed="false">
      <c r="A331" s="46"/>
      <c r="B331" s="48"/>
    </row>
    <row r="332" customFormat="false" ht="12.75" hidden="false" customHeight="false" outlineLevel="0" collapsed="false">
      <c r="A332" s="46"/>
      <c r="B332" s="48"/>
    </row>
    <row r="333" customFormat="false" ht="12.75" hidden="false" customHeight="false" outlineLevel="0" collapsed="false">
      <c r="A333" s="46"/>
      <c r="B333" s="48"/>
    </row>
    <row r="334" customFormat="false" ht="12.75" hidden="false" customHeight="false" outlineLevel="0" collapsed="false">
      <c r="A334" s="46"/>
      <c r="B334" s="48"/>
    </row>
    <row r="335" customFormat="false" ht="12.75" hidden="false" customHeight="false" outlineLevel="0" collapsed="false">
      <c r="A335" s="46"/>
      <c r="B335" s="48"/>
    </row>
    <row r="336" customFormat="false" ht="12.75" hidden="false" customHeight="false" outlineLevel="0" collapsed="false">
      <c r="A336" s="46"/>
      <c r="B336" s="48"/>
    </row>
    <row r="337" customFormat="false" ht="12.75" hidden="false" customHeight="false" outlineLevel="0" collapsed="false">
      <c r="A337" s="46"/>
      <c r="B337" s="48"/>
    </row>
    <row r="338" customFormat="false" ht="12.75" hidden="false" customHeight="false" outlineLevel="0" collapsed="false">
      <c r="A338" s="46"/>
      <c r="B338" s="48"/>
    </row>
    <row r="339" customFormat="false" ht="12.75" hidden="false" customHeight="false" outlineLevel="0" collapsed="false">
      <c r="A339" s="46"/>
      <c r="B339" s="48"/>
    </row>
    <row r="340" customFormat="false" ht="12.75" hidden="false" customHeight="false" outlineLevel="0" collapsed="false">
      <c r="A340" s="46"/>
      <c r="B340" s="48"/>
    </row>
    <row r="341" customFormat="false" ht="12.75" hidden="false" customHeight="false" outlineLevel="0" collapsed="false">
      <c r="A341" s="46"/>
      <c r="B341" s="48"/>
    </row>
    <row r="342" customFormat="false" ht="12.75" hidden="false" customHeight="false" outlineLevel="0" collapsed="false">
      <c r="A342" s="46"/>
      <c r="B342" s="48"/>
    </row>
    <row r="343" customFormat="false" ht="12.75" hidden="false" customHeight="false" outlineLevel="0" collapsed="false">
      <c r="A343" s="46"/>
      <c r="B343" s="48"/>
    </row>
    <row r="344" customFormat="false" ht="12.75" hidden="false" customHeight="false" outlineLevel="0" collapsed="false">
      <c r="A344" s="46"/>
      <c r="B344" s="48"/>
    </row>
    <row r="345" customFormat="false" ht="12.75" hidden="false" customHeight="false" outlineLevel="0" collapsed="false">
      <c r="A345" s="46"/>
      <c r="B345" s="48"/>
    </row>
    <row r="346" customFormat="false" ht="12.75" hidden="false" customHeight="false" outlineLevel="0" collapsed="false">
      <c r="A346" s="46"/>
      <c r="B346" s="48"/>
    </row>
    <row r="347" customFormat="false" ht="12.75" hidden="false" customHeight="false" outlineLevel="0" collapsed="false">
      <c r="A347" s="46"/>
      <c r="B347" s="48"/>
    </row>
    <row r="348" customFormat="false" ht="12.75" hidden="false" customHeight="false" outlineLevel="0" collapsed="false">
      <c r="A348" s="46"/>
      <c r="B348" s="48"/>
    </row>
    <row r="349" customFormat="false" ht="12.75" hidden="false" customHeight="false" outlineLevel="0" collapsed="false">
      <c r="A349" s="46"/>
      <c r="B349" s="48"/>
    </row>
    <row r="350" customFormat="false" ht="12.75" hidden="false" customHeight="false" outlineLevel="0" collapsed="false">
      <c r="A350" s="46"/>
      <c r="B350" s="48"/>
    </row>
    <row r="351" customFormat="false" ht="12.75" hidden="false" customHeight="false" outlineLevel="0" collapsed="false">
      <c r="A351" s="46"/>
      <c r="B351" s="48"/>
    </row>
    <row r="352" customFormat="false" ht="12.75" hidden="false" customHeight="false" outlineLevel="0" collapsed="false">
      <c r="A352" s="46"/>
      <c r="B352" s="48"/>
    </row>
    <row r="353" customFormat="false" ht="12.75" hidden="false" customHeight="false" outlineLevel="0" collapsed="false">
      <c r="A353" s="46"/>
      <c r="B353" s="48"/>
    </row>
    <row r="354" customFormat="false" ht="12.75" hidden="false" customHeight="false" outlineLevel="0" collapsed="false">
      <c r="A354" s="46"/>
      <c r="B354" s="48"/>
    </row>
    <row r="355" customFormat="false" ht="12.75" hidden="false" customHeight="false" outlineLevel="0" collapsed="false">
      <c r="A355" s="46"/>
      <c r="B355" s="48"/>
    </row>
    <row r="356" customFormat="false" ht="12.75" hidden="false" customHeight="false" outlineLevel="0" collapsed="false">
      <c r="A356" s="46"/>
      <c r="B356" s="48"/>
    </row>
    <row r="357" customFormat="false" ht="12.75" hidden="false" customHeight="false" outlineLevel="0" collapsed="false">
      <c r="A357" s="46"/>
      <c r="B357" s="48"/>
    </row>
    <row r="358" customFormat="false" ht="12.75" hidden="false" customHeight="false" outlineLevel="0" collapsed="false">
      <c r="A358" s="46"/>
      <c r="B358" s="48"/>
    </row>
    <row r="359" customFormat="false" ht="12.75" hidden="false" customHeight="false" outlineLevel="0" collapsed="false">
      <c r="A359" s="46"/>
      <c r="B359" s="48"/>
    </row>
    <row r="360" customFormat="false" ht="12.75" hidden="false" customHeight="false" outlineLevel="0" collapsed="false">
      <c r="A360" s="46"/>
      <c r="B360" s="48"/>
    </row>
    <row r="361" customFormat="false" ht="12.75" hidden="false" customHeight="false" outlineLevel="0" collapsed="false">
      <c r="A361" s="46"/>
      <c r="B361" s="48"/>
    </row>
    <row r="362" customFormat="false" ht="12.75" hidden="false" customHeight="false" outlineLevel="0" collapsed="false">
      <c r="A362" s="46"/>
      <c r="B362" s="48"/>
    </row>
    <row r="363" customFormat="false" ht="12.75" hidden="false" customHeight="false" outlineLevel="0" collapsed="false">
      <c r="A363" s="46"/>
      <c r="B363" s="48"/>
    </row>
    <row r="364" customFormat="false" ht="12.75" hidden="false" customHeight="false" outlineLevel="0" collapsed="false">
      <c r="A364" s="46"/>
      <c r="B364" s="48"/>
    </row>
    <row r="365" customFormat="false" ht="12.75" hidden="false" customHeight="false" outlineLevel="0" collapsed="false">
      <c r="A365" s="46"/>
      <c r="B365" s="48"/>
    </row>
    <row r="366" customFormat="false" ht="12.75" hidden="false" customHeight="false" outlineLevel="0" collapsed="false">
      <c r="A366" s="46"/>
      <c r="B366" s="48"/>
    </row>
    <row r="367" customFormat="false" ht="12.75" hidden="false" customHeight="false" outlineLevel="0" collapsed="false">
      <c r="A367" s="46"/>
      <c r="B367" s="48"/>
    </row>
    <row r="368" customFormat="false" ht="12.75" hidden="false" customHeight="false" outlineLevel="0" collapsed="false">
      <c r="A368" s="46"/>
      <c r="B368" s="48"/>
    </row>
    <row r="369" customFormat="false" ht="12.75" hidden="false" customHeight="false" outlineLevel="0" collapsed="false">
      <c r="A369" s="46"/>
      <c r="B369" s="48"/>
    </row>
    <row r="370" customFormat="false" ht="12.75" hidden="false" customHeight="false" outlineLevel="0" collapsed="false">
      <c r="A370" s="46"/>
      <c r="B370" s="48"/>
    </row>
    <row r="371" customFormat="false" ht="12.75" hidden="false" customHeight="false" outlineLevel="0" collapsed="false">
      <c r="A371" s="46"/>
      <c r="B371" s="48"/>
    </row>
    <row r="372" customFormat="false" ht="12.75" hidden="false" customHeight="false" outlineLevel="0" collapsed="false">
      <c r="A372" s="46"/>
      <c r="B372" s="48"/>
    </row>
    <row r="373" customFormat="false" ht="12.75" hidden="false" customHeight="false" outlineLevel="0" collapsed="false">
      <c r="A373" s="46"/>
      <c r="B373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13"/>
    <col collapsed="false" customWidth="true" hidden="false" outlineLevel="0" max="2" min="2" style="0" width="4.99"/>
    <col collapsed="false" customWidth="true" hidden="false" outlineLevel="0" max="3" min="3" style="0" width="10.41"/>
    <col collapsed="false" customWidth="true" hidden="false" outlineLevel="0" max="4" min="4" style="0" width="7.99"/>
  </cols>
  <sheetData>
    <row r="2" customFormat="false" ht="12.75" hidden="false" customHeight="false" outlineLevel="0" collapsed="false">
      <c r="B2" s="40" t="s">
        <v>77</v>
      </c>
    </row>
    <row r="4" customFormat="false" ht="12.75" hidden="false" customHeight="false" outlineLevel="0" collapsed="false">
      <c r="A4" s="40" t="s">
        <v>78</v>
      </c>
      <c r="B4" s="3" t="s">
        <v>79</v>
      </c>
      <c r="D4" s="49" t="s">
        <v>80</v>
      </c>
      <c r="E4" s="0" t="s">
        <v>81</v>
      </c>
    </row>
    <row r="5" customFormat="false" ht="12.75" hidden="false" customHeight="false" outlineLevel="0" collapsed="false">
      <c r="B5" s="0" t="s">
        <v>82</v>
      </c>
      <c r="D5" s="50"/>
    </row>
    <row r="6" customFormat="false" ht="12.75" hidden="false" customHeight="false" outlineLevel="0" collapsed="false">
      <c r="B6" s="0" t="s">
        <v>83</v>
      </c>
      <c r="D6" s="50"/>
    </row>
    <row r="7" customFormat="false" ht="12.75" hidden="false" customHeight="false" outlineLevel="0" collapsed="false">
      <c r="B7" s="0" t="s">
        <v>84</v>
      </c>
      <c r="D7" s="50"/>
    </row>
    <row r="8" customFormat="false" ht="12.75" hidden="false" customHeight="false" outlineLevel="0" collapsed="false">
      <c r="B8" s="0" t="s">
        <v>85</v>
      </c>
      <c r="D8" s="50"/>
    </row>
    <row r="9" customFormat="false" ht="12.75" hidden="false" customHeight="false" outlineLevel="0" collapsed="false">
      <c r="B9" s="0" t="s">
        <v>86</v>
      </c>
      <c r="D9" s="50"/>
    </row>
    <row r="10" customFormat="false" ht="12.75" hidden="false" customHeight="false" outlineLevel="0" collapsed="false">
      <c r="B10" s="0" t="s">
        <v>87</v>
      </c>
      <c r="D10" s="50"/>
    </row>
    <row r="11" customFormat="false" ht="12.75" hidden="false" customHeight="false" outlineLevel="0" collapsed="false">
      <c r="A11" s="40" t="s">
        <v>88</v>
      </c>
      <c r="B11" s="0" t="s">
        <v>89</v>
      </c>
      <c r="C11" s="51" t="s">
        <v>90</v>
      </c>
      <c r="D11" s="0" t="s">
        <v>91</v>
      </c>
    </row>
    <row r="12" customFormat="false" ht="12.75" hidden="false" customHeight="false" outlineLevel="0" collapsed="false">
      <c r="A12" s="40"/>
    </row>
    <row r="14" customFormat="false" ht="12.75" hidden="false" customHeight="false" outlineLevel="0" collapsed="false">
      <c r="A14" s="0" t="s">
        <v>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7"/>
  <sheetViews>
    <sheetView showFormulas="false" showGridLines="true" showRowColHeaders="true" showZeros="true" rightToLeft="false" tabSelected="true" showOutlineSymbols="true" defaultGridColor="true" view="normal" topLeftCell="A14" colorId="64" zoomScale="100" zoomScaleNormal="100" zoomScalePageLayoutView="100" workbookViewId="0">
      <selection pane="topLeft" activeCell="B14" activeCellId="0" sqref="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11.7"/>
    <col collapsed="false" customWidth="true" hidden="false" outlineLevel="0" max="3" min="3" style="0" width="13.14"/>
    <col collapsed="false" customWidth="true" hidden="false" outlineLevel="0" max="4" min="4" style="0" width="15.28"/>
    <col collapsed="false" customWidth="true" hidden="false" outlineLevel="0" max="5" min="5" style="0" width="11.56"/>
    <col collapsed="false" customWidth="true" hidden="false" outlineLevel="0" max="6" min="6" style="0" width="9.7"/>
    <col collapsed="false" customWidth="true" hidden="false" outlineLevel="0" max="8" min="8" style="0" width="9.7"/>
    <col collapsed="false" customWidth="true" hidden="false" outlineLevel="0" max="10" min="10" style="0" width="11.85"/>
    <col collapsed="false" customWidth="true" hidden="false" outlineLevel="0" max="11" min="11" style="0" width="16.42"/>
    <col collapsed="false" customWidth="true" hidden="false" outlineLevel="0" max="12" min="12" style="0" width="10.71"/>
    <col collapsed="false" customWidth="true" hidden="false" outlineLevel="0" max="13" min="13" style="0" width="9.28"/>
  </cols>
  <sheetData>
    <row r="1" customFormat="false" ht="12.75" hidden="false" customHeight="false" outlineLevel="0" collapsed="false">
      <c r="A1" s="4" t="s">
        <v>93</v>
      </c>
      <c r="B1" s="52" t="n">
        <v>36526</v>
      </c>
      <c r="F1" s="53" t="s">
        <v>94</v>
      </c>
      <c r="L1" s="40" t="s">
        <v>95</v>
      </c>
    </row>
    <row r="2" customFormat="false" ht="12.75" hidden="false" customHeight="false" outlineLevel="0" collapsed="false">
      <c r="A2" s="4" t="s">
        <v>96</v>
      </c>
      <c r="B2" s="54" t="n">
        <f aca="false">VLOOKUP(B1,'1-10 vols'!A1:B150,2,FALSE())</f>
        <v>31</v>
      </c>
      <c r="M2" s="55" t="n">
        <v>37043</v>
      </c>
    </row>
    <row r="3" customFormat="false" ht="12.75" hidden="false" customHeight="false" outlineLevel="0" collapsed="false">
      <c r="A3" s="4" t="s">
        <v>97</v>
      </c>
      <c r="B3" s="56" t="n">
        <f aca="false">VLOOKUP(B1,'1-10 vols'!$A$3:$P$150,16,FALSE())+IF(B1&lt;N34,25000*B2)</f>
        <v>8800796.8</v>
      </c>
    </row>
    <row r="4" customFormat="false" ht="12.75" hidden="false" customHeight="false" outlineLevel="0" collapsed="false">
      <c r="A4" s="4" t="s">
        <v>98</v>
      </c>
      <c r="B4" s="56" t="n">
        <f aca="false">(VLOOKUP(B1,'1-10 vols'!A1:AI150,31,FALSE())+VLOOKUP(B1,'1-10 vols'!A1:AI150,28,FALSE())+VLOOKUP(B1,'1-10 vols'!A1:AI150,34,FALSE()))+(IF(B1&gt;M2,0,4000*B2))</f>
        <v>480500</v>
      </c>
      <c r="D4" s="57"/>
      <c r="F4" s="3"/>
    </row>
    <row r="5" customFormat="false" ht="12.75" hidden="false" customHeight="false" outlineLevel="0" collapsed="false">
      <c r="D5" s="57" t="n">
        <f aca="false">+B6-B3</f>
        <v>-3206004.8</v>
      </c>
      <c r="E5" s="57" t="n">
        <f aca="false">+D5/B2</f>
        <v>-103419.509677419</v>
      </c>
    </row>
    <row r="6" customFormat="false" ht="12.75" hidden="false" customHeight="false" outlineLevel="0" collapsed="false">
      <c r="A6" s="58" t="s">
        <v>99</v>
      </c>
      <c r="B6" s="59" t="n">
        <f aca="false">185559+57000+47500+190000+110500+353500+59987+26050+3100+4158924+1085+6595+128619+3100+9+7793+61274+44816+62919+15+20+31+60+3900+1800+360+75000+5074+130+60+12</f>
        <v>5594792</v>
      </c>
      <c r="F6" s="53" t="s">
        <v>100</v>
      </c>
      <c r="K6" s="40" t="s">
        <v>101</v>
      </c>
    </row>
    <row r="7" customFormat="false" ht="12.75" hidden="false" customHeight="false" outlineLevel="0" collapsed="false">
      <c r="A7" s="58" t="s">
        <v>102</v>
      </c>
      <c r="B7" s="59" t="n">
        <f aca="false">+B6</f>
        <v>5594792</v>
      </c>
      <c r="C7" s="58" t="s">
        <v>103</v>
      </c>
      <c r="D7" s="60" t="n">
        <v>2.907</v>
      </c>
      <c r="F7" s="61" t="s">
        <v>104</v>
      </c>
      <c r="G7" s="42"/>
      <c r="H7" s="42"/>
      <c r="K7" s="40" t="s">
        <v>105</v>
      </c>
    </row>
    <row r="8" customFormat="false" ht="12.75" hidden="false" customHeight="false" outlineLevel="0" collapsed="false">
      <c r="A8" s="58"/>
      <c r="B8" s="40"/>
    </row>
    <row r="9" customFormat="false" ht="11.25" hidden="false" customHeight="true" outlineLevel="0" collapsed="false">
      <c r="A9" s="4" t="s">
        <v>106</v>
      </c>
      <c r="B9" s="60" t="n">
        <v>2.34</v>
      </c>
      <c r="D9" s="57"/>
    </row>
    <row r="10" customFormat="false" ht="12.75" hidden="false" customHeight="false" outlineLevel="0" collapsed="false">
      <c r="A10" s="4" t="s">
        <v>107</v>
      </c>
      <c r="B10" s="62" t="n">
        <v>-0.015</v>
      </c>
      <c r="D10" s="63"/>
    </row>
    <row r="11" customFormat="false" ht="12.75" hidden="false" customHeight="false" outlineLevel="0" collapsed="false">
      <c r="A11" s="4" t="s">
        <v>108</v>
      </c>
      <c r="B11" s="64" t="n">
        <v>0.06</v>
      </c>
      <c r="H11" s="57"/>
    </row>
    <row r="12" customFormat="false" ht="12.75" hidden="false" customHeight="false" outlineLevel="0" collapsed="false">
      <c r="A12" s="4" t="s">
        <v>109</v>
      </c>
      <c r="B12" s="65" t="n">
        <f aca="false">VLOOKUP(B1,'Transport Schedule'!B3:C150,2)</f>
        <v>0.0279</v>
      </c>
      <c r="H12" s="57"/>
    </row>
    <row r="13" customFormat="false" ht="12.75" hidden="false" customHeight="false" outlineLevel="0" collapsed="false">
      <c r="A13" s="4" t="s">
        <v>110</v>
      </c>
      <c r="B13" s="65" t="n">
        <f aca="false">SUM(B9:B12)</f>
        <v>2.4129</v>
      </c>
      <c r="H13" s="66"/>
      <c r="Z13" s="0" t="n">
        <f aca="false">SUM(V11:V24)</f>
        <v>0</v>
      </c>
    </row>
    <row r="14" customFormat="false" ht="12.75" hidden="false" customHeight="false" outlineLevel="0" collapsed="false">
      <c r="A14" s="67"/>
      <c r="B14" s="68"/>
      <c r="F14" s="57"/>
      <c r="H14" s="66"/>
      <c r="O14" s="40"/>
      <c r="Z14" s="0" t="n">
        <f aca="false">1.86+0.769</f>
        <v>2.629</v>
      </c>
    </row>
    <row r="15" customFormat="false" ht="12.75" hidden="false" customHeight="false" outlineLevel="0" collapsed="false">
      <c r="A15" s="67"/>
      <c r="B15" s="68"/>
      <c r="I15" s="57"/>
      <c r="O15" s="40"/>
      <c r="Z15" s="0" t="n">
        <f aca="false">Z13*Z14</f>
        <v>0</v>
      </c>
    </row>
    <row r="16" customFormat="false" ht="12" hidden="false" customHeight="true" outlineLevel="0" collapsed="false">
      <c r="A16" s="69" t="s">
        <v>111</v>
      </c>
      <c r="B16" s="68"/>
      <c r="H16" s="66"/>
      <c r="I16" s="66"/>
      <c r="O16" s="40"/>
      <c r="Z16" s="0" t="n">
        <f aca="false">Z15+4067617</f>
        <v>4067617</v>
      </c>
    </row>
    <row r="17" customFormat="false" ht="13.5" hidden="false" customHeight="true" outlineLevel="0" collapsed="false">
      <c r="A17" s="58" t="s">
        <v>112</v>
      </c>
      <c r="B17" s="59" t="n">
        <v>110500</v>
      </c>
      <c r="M17" s="70" t="n">
        <f aca="false">VLOOKUP(B1,'1-10 vols'!A1:Z86,25)-(IF(B1&gt;M30,0,4000*B2))</f>
        <v>410589</v>
      </c>
      <c r="O17" s="40"/>
    </row>
    <row r="18" customFormat="false" ht="12.75" hidden="false" customHeight="true" outlineLevel="0" collapsed="false">
      <c r="A18" s="58" t="s">
        <v>113</v>
      </c>
      <c r="B18" s="59" t="n">
        <v>0</v>
      </c>
      <c r="D18" s="40" t="s">
        <v>114</v>
      </c>
    </row>
    <row r="19" customFormat="false" ht="13.5" hidden="false" customHeight="true" outlineLevel="0" collapsed="false">
      <c r="A19" s="58" t="s">
        <v>115</v>
      </c>
      <c r="B19" s="59" t="n">
        <v>353500</v>
      </c>
      <c r="D19" s="40" t="s">
        <v>116</v>
      </c>
      <c r="G19" s="53" t="s">
        <v>117</v>
      </c>
      <c r="K19" s="42"/>
      <c r="L19" s="42"/>
      <c r="Z19" s="0" t="n">
        <f aca="false">1.9075*Z13</f>
        <v>0</v>
      </c>
    </row>
    <row r="20" customFormat="false" ht="11.25" hidden="false" customHeight="true" outlineLevel="0" collapsed="false">
      <c r="A20" s="67"/>
      <c r="B20" s="71"/>
      <c r="K20" s="42"/>
      <c r="L20" s="42"/>
      <c r="Z20" s="0" t="n">
        <f aca="false">Z19+2374805</f>
        <v>2374805</v>
      </c>
    </row>
    <row r="21" customFormat="false" ht="11.25" hidden="false" customHeight="true" outlineLevel="0" collapsed="false">
      <c r="A21" s="67"/>
      <c r="B21" s="71"/>
      <c r="J21" s="72"/>
      <c r="K21" s="42"/>
      <c r="L21" s="42"/>
    </row>
    <row r="22" customFormat="false" ht="11.25" hidden="false" customHeight="true" outlineLevel="0" collapsed="false">
      <c r="A22" s="73" t="s">
        <v>118</v>
      </c>
      <c r="B22" s="71"/>
      <c r="D22" s="74"/>
      <c r="F22" s="72"/>
      <c r="J22" s="72"/>
      <c r="K22" s="42"/>
      <c r="L22" s="42"/>
    </row>
    <row r="23" customFormat="false" ht="12.75" hidden="false" customHeight="false" outlineLevel="0" collapsed="false">
      <c r="A23" s="75" t="s">
        <v>119</v>
      </c>
      <c r="B23" s="67"/>
      <c r="C23" s="71"/>
      <c r="K23" s="42"/>
      <c r="L23" s="42"/>
    </row>
    <row r="24" customFormat="false" ht="12.75" hidden="false" customHeight="false" outlineLevel="0" collapsed="false">
      <c r="A24" s="71"/>
      <c r="B24" s="76" t="s">
        <v>120</v>
      </c>
      <c r="C24" s="77"/>
      <c r="D24" s="77"/>
      <c r="E24" s="77"/>
      <c r="F24" s="77"/>
      <c r="G24" s="77"/>
      <c r="H24" s="77"/>
      <c r="I24" s="77"/>
      <c r="J24" s="77"/>
      <c r="K24" s="78"/>
      <c r="L24" s="79"/>
    </row>
    <row r="25" customFormat="false" ht="12.75" hidden="false" customHeight="false" outlineLevel="0" collapsed="false">
      <c r="A25" s="71"/>
      <c r="B25" s="80"/>
      <c r="C25" s="81"/>
      <c r="D25" s="81"/>
      <c r="E25" s="81"/>
      <c r="F25" s="81"/>
      <c r="G25" s="81"/>
      <c r="H25" s="81"/>
      <c r="I25" s="81"/>
      <c r="J25" s="81"/>
      <c r="K25" s="81"/>
      <c r="L25" s="82"/>
    </row>
    <row r="26" customFormat="false" ht="12.75" hidden="false" customHeight="false" outlineLevel="0" collapsed="false">
      <c r="A26" s="71"/>
      <c r="B26" s="83" t="s">
        <v>121</v>
      </c>
      <c r="C26" s="83"/>
      <c r="D26" s="83" t="s">
        <v>122</v>
      </c>
      <c r="E26" s="84" t="s">
        <v>123</v>
      </c>
      <c r="F26" s="85"/>
      <c r="G26" s="83" t="s">
        <v>1</v>
      </c>
      <c r="H26" s="83"/>
      <c r="I26" s="83"/>
      <c r="J26" s="81"/>
      <c r="K26" s="81"/>
      <c r="L26" s="86"/>
      <c r="M26" s="42"/>
    </row>
    <row r="27" customFormat="false" ht="12.75" hidden="false" customHeight="false" outlineLevel="0" collapsed="false">
      <c r="A27" s="68" t="s">
        <v>124</v>
      </c>
      <c r="B27" s="87"/>
      <c r="C27" s="87"/>
      <c r="D27" s="88" t="n">
        <f aca="false">+A30*0.13</f>
        <v>11184.81</v>
      </c>
      <c r="E27" s="88" t="n">
        <f aca="false">VLOOKUP($B$1,'1-10 vols'!$A$3:$AM$98,37)</f>
        <v>828000</v>
      </c>
      <c r="F27" s="88"/>
      <c r="G27" s="69" t="s">
        <v>125</v>
      </c>
      <c r="H27" s="69" t="s">
        <v>126</v>
      </c>
      <c r="I27" s="69" t="s">
        <v>127</v>
      </c>
      <c r="J27" s="81"/>
      <c r="K27" s="81"/>
      <c r="L27" s="89" t="s">
        <v>128</v>
      </c>
      <c r="M27" s="42"/>
    </row>
    <row r="28" customFormat="false" ht="12.75" hidden="false" customHeight="false" outlineLevel="0" collapsed="false">
      <c r="A28" s="71"/>
      <c r="B28" s="87" t="n">
        <f aca="false">B6*B13</f>
        <v>13499673.6168</v>
      </c>
      <c r="C28" s="87"/>
      <c r="D28" s="88" t="n">
        <f aca="false">IF(B1&lt;M28,H28*I28,0)</f>
        <v>0</v>
      </c>
      <c r="E28" s="90" t="n">
        <f aca="false">(B9-(VLOOKUP($B$1,'1-10 vols'!$A$1:$AI$150,35)))*(VLOOKUP($B$1,'1-10 vols'!$A$1:$AI$150,34))</f>
        <v>0</v>
      </c>
      <c r="F28" s="90"/>
      <c r="G28" s="76" t="str">
        <f aca="false">IF(B1&lt;M28,"EE7377.1","-")</f>
        <v>-</v>
      </c>
      <c r="H28" s="91" t="n">
        <f aca="false">IF(B1&lt;M28,IF(B6-H32&gt;5000*B2,5000*B2,IF(B6-H32&gt;0,B6-H32,0)))</f>
        <v>0</v>
      </c>
      <c r="I28" s="92" t="str">
        <f aca="false">IF(B1&lt;M28,3.136,"-")</f>
        <v>-</v>
      </c>
      <c r="J28" s="81"/>
      <c r="K28" s="81"/>
      <c r="L28" s="93" t="str">
        <f aca="false">I28</f>
        <v>-</v>
      </c>
      <c r="M28" s="94" t="n">
        <v>36434</v>
      </c>
      <c r="Y28" s="0" t="n">
        <f aca="false">4393605-1832130-2611329</f>
        <v>-49854</v>
      </c>
    </row>
    <row r="29" customFormat="false" ht="12.75" hidden="false" customHeight="false" outlineLevel="0" collapsed="false">
      <c r="A29" s="58" t="s">
        <v>129</v>
      </c>
      <c r="B29" s="87" t="n">
        <f aca="false">+A30*0.13</f>
        <v>11184.81</v>
      </c>
      <c r="C29" s="87"/>
      <c r="D29" s="88" t="n">
        <f aca="false">IF(B1&lt;M29,(H29*(I29)),0)</f>
        <v>420050</v>
      </c>
      <c r="E29" s="90" t="n">
        <f aca="false">($B$9-(VLOOKUP($B$1,'1-10 vols'!$A$1:$AI$150,32)))*(VLOOKUP($B$1,'1-10 vols'!$A$1:$AI$150,31))</f>
        <v>81375</v>
      </c>
      <c r="F29" s="90"/>
      <c r="G29" s="95" t="str">
        <f aca="false">IF(B1&lt;M30,"E26107.2","-")</f>
        <v>E26107.2</v>
      </c>
      <c r="H29" s="96" t="n">
        <f aca="false">IF(B1&lt;M29,IF(B7-H28-H32&gt;5000*B2,5000*B2,IF(B7-H28-H32&gt;0,B7-H28-H32,0)))</f>
        <v>155000</v>
      </c>
      <c r="I29" s="93" t="n">
        <f aca="false">IF(B1&lt;M29,2.71,"-")</f>
        <v>2.71</v>
      </c>
      <c r="J29" s="81"/>
      <c r="K29" s="81"/>
      <c r="L29" s="93" t="n">
        <f aca="false">+I29</f>
        <v>2.71</v>
      </c>
      <c r="M29" s="97" t="n">
        <v>36586</v>
      </c>
    </row>
    <row r="30" customFormat="false" ht="12.75" hidden="false" customHeight="false" outlineLevel="0" collapsed="false">
      <c r="A30" s="59" t="n">
        <f aca="false">59987+26050</f>
        <v>86037</v>
      </c>
      <c r="B30" s="87"/>
      <c r="C30" s="87"/>
      <c r="D30" s="88" t="n">
        <f aca="false">IF(B1&lt;M30,H30*(B9+I30),0)</f>
        <v>345960</v>
      </c>
      <c r="E30" s="90" t="n">
        <f aca="false">(B10-(VLOOKUP($B$1,'1-10 vols'!$A$1:$AI$150,26)))*(VLOOKUP($B$1,'1-10 vols'!$A$1:$AI$150,25))</f>
        <v>-201593.5119</v>
      </c>
      <c r="F30" s="90"/>
      <c r="G30" s="95" t="str">
        <f aca="false">IF(B2&lt;M31,"ES0923.1","-")</f>
        <v>ES0923.1</v>
      </c>
      <c r="H30" s="96" t="n">
        <f aca="false">IF(B1&lt;M30,IF(B7-H28-H29-H32&gt;4000*B2,4000*B2,IF(B7-H28-H29-H32&gt;0,B7-H28-H29-H32,0)))</f>
        <v>124000</v>
      </c>
      <c r="I30" s="98" t="n">
        <f aca="false">IF(B1&lt;M30,0.45,"-")</f>
        <v>0.45</v>
      </c>
      <c r="J30" s="81"/>
      <c r="K30" s="81"/>
      <c r="L30" s="93" t="n">
        <f aca="false">I30+B9</f>
        <v>2.79</v>
      </c>
      <c r="M30" s="94" t="n">
        <v>37073</v>
      </c>
    </row>
    <row r="31" customFormat="false" ht="12.75" hidden="false" customHeight="false" outlineLevel="0" collapsed="false">
      <c r="A31" s="71"/>
      <c r="B31" s="99"/>
      <c r="C31" s="99"/>
      <c r="D31" s="88" t="n">
        <f aca="false">IF(B1&lt;M31,H31*(B9+I31),0)</f>
        <v>552714.5</v>
      </c>
      <c r="E31" s="90" t="n">
        <f aca="false">($B$10-(VLOOKUP($B$1,'1-10 vols'!$A$1:$AI$150,29)))*(VLOOKUP($B$1,'1-10 vols'!$A1:$AI$150,28))</f>
        <v>-66515.15</v>
      </c>
      <c r="F31" s="90"/>
      <c r="G31" s="95" t="str">
        <f aca="false">IF(B1&lt;M31,"ES0926.1","-")</f>
        <v>ES0926.1</v>
      </c>
      <c r="H31" s="96" t="n">
        <f aca="false">IF(B1&lt;M31,IF((B7-H28-H29-H30-H32)&gt;6500*B2,6500*B2,IF((B7-H28-H29-H30-H32)&gt;0,B7-H28-H29-H32,0)))</f>
        <v>201500</v>
      </c>
      <c r="I31" s="98" t="n">
        <f aca="false">IF(B1&lt;M31,0.403,"-")</f>
        <v>0.403</v>
      </c>
      <c r="J31" s="81"/>
      <c r="K31" s="81"/>
      <c r="L31" s="93" t="n">
        <f aca="false">I31+B9</f>
        <v>2.743</v>
      </c>
      <c r="M31" s="100" t="n">
        <v>37073</v>
      </c>
    </row>
    <row r="32" customFormat="false" ht="12.75" hidden="false" customHeight="false" outlineLevel="0" collapsed="false">
      <c r="A32" s="71"/>
      <c r="B32" s="99"/>
      <c r="C32" s="99"/>
      <c r="D32" s="88" t="n">
        <f aca="false">H32*(B9+I32)</f>
        <v>1294560</v>
      </c>
      <c r="E32" s="90" t="n">
        <f aca="false">VLOOKUP($B$1,'1-10 vols'!A1:AS150,39)</f>
        <v>-19530</v>
      </c>
      <c r="F32" s="90"/>
      <c r="G32" s="80"/>
      <c r="H32" s="96" t="n">
        <f aca="false">IF(B1&gt;M34,0,SUM(B17:B19))</f>
        <v>464000</v>
      </c>
      <c r="I32" s="98" t="n">
        <f aca="false">IF(B1&gt;M34,0,IF(B1&lt;M32,0.45,0.6))</f>
        <v>0.45</v>
      </c>
      <c r="J32" s="101" t="s">
        <v>130</v>
      </c>
      <c r="K32" s="81"/>
      <c r="L32" s="93" t="n">
        <f aca="false">I32+B9</f>
        <v>2.79</v>
      </c>
      <c r="M32" s="100" t="n">
        <v>37073</v>
      </c>
    </row>
    <row r="33" customFormat="false" ht="12.75" hidden="false" customHeight="false" outlineLevel="0" collapsed="false">
      <c r="A33" s="102" t="s">
        <v>131</v>
      </c>
      <c r="B33" s="99"/>
      <c r="C33" s="99"/>
      <c r="D33" s="88" t="n">
        <f aca="false">IF(B1&lt;M33,IF(B9&lt;1.7,H33*(1.7+0.769),H33*(B9+0.769)),0)</f>
        <v>0</v>
      </c>
      <c r="E33" s="90" t="n">
        <f aca="false">IF(B1&lt;M33,(IF(B9&lt;1.7,(1.7-B9)*10000*B2,0)),0)</f>
        <v>0</v>
      </c>
      <c r="F33" s="90"/>
      <c r="G33" s="95" t="s">
        <v>63</v>
      </c>
      <c r="H33" s="96" t="n">
        <f aca="false">IF(B1&lt;M33,IF(B7-SUM(H28:H32)&gt;10000*B2,10000*B2,IF((B7-SUM(H28:H32))&gt;0,B7-SUM(H28:H32),0)))</f>
        <v>0</v>
      </c>
      <c r="I33" s="93" t="n">
        <f aca="false">IF(B9&lt;1.7,1.7+0.769,B9+0.769)</f>
        <v>3.109</v>
      </c>
      <c r="J33" s="101" t="str">
        <f aca="false">IF(B1&lt;M33,"Floor of $2.469 on Sitara #70860","-")</f>
        <v>-</v>
      </c>
      <c r="K33" s="81"/>
      <c r="L33" s="93" t="n">
        <f aca="false">I33</f>
        <v>3.109</v>
      </c>
      <c r="M33" s="94" t="n">
        <v>36465</v>
      </c>
      <c r="Y33" s="0" t="n">
        <f aca="false">1578091+123997</f>
        <v>1702088</v>
      </c>
    </row>
    <row r="34" customFormat="false" ht="12.75" hidden="false" customHeight="false" outlineLevel="0" collapsed="false">
      <c r="A34" s="58" t="s">
        <v>132</v>
      </c>
      <c r="B34" s="103" t="n">
        <f aca="false">+(B7-B6)*D7</f>
        <v>0</v>
      </c>
      <c r="C34" s="103"/>
      <c r="D34" s="104" t="n">
        <f aca="false">(H34-(IF(B1&lt;N34,25000*B2,0)))*(B9+I34)+25000*B2*(0.719+IF(B9&lt;2.3,2.3,B9))</f>
        <v>14419007.828</v>
      </c>
      <c r="E34" s="90" t="n">
        <f aca="false">($B$10-(VLOOKUP($B$1,'1-10 vols'!$A$1:$AI$150,20)))*(VLOOKUP($B$1,'1-10 vols'!$A$1:$AI$150,19))+($B$10-(VLOOKUP($B$1,'1-10 vols'!$A$1:$AI$150,23)))*(VLOOKUP($B$1,'1-10 vols'!$A$1:$AI$150,22))+IF(B1&lt;N34,25000*B2*((-VLOOKUP($B$1,'1-10 vols'!A3:AM98,20)+0.05+'R&amp;C Model'!B10)),0)</f>
        <v>-5575093.09958</v>
      </c>
      <c r="F34" s="90"/>
      <c r="G34" s="105" t="s">
        <v>16</v>
      </c>
      <c r="H34" s="106" t="n">
        <f aca="false">IF((B7-(SUM(H28:H33)))&lt;0,0,B7-(SUM(H28:H33)))</f>
        <v>4650292</v>
      </c>
      <c r="I34" s="107" t="n">
        <f aca="false">IF(B1&gt;M34,0.59,0.769)</f>
        <v>0.769</v>
      </c>
      <c r="J34" s="81"/>
      <c r="K34" s="81"/>
      <c r="L34" s="93" t="n">
        <f aca="false">I34+B9</f>
        <v>3.109</v>
      </c>
      <c r="M34" s="55" t="n">
        <v>38777</v>
      </c>
      <c r="N34" s="55" t="n">
        <v>36617</v>
      </c>
    </row>
    <row r="35" customFormat="false" ht="12.75" hidden="false" customHeight="false" outlineLevel="0" collapsed="false">
      <c r="A35" s="58" t="s">
        <v>133</v>
      </c>
      <c r="B35" s="108"/>
      <c r="C35" s="81"/>
      <c r="D35" s="81"/>
      <c r="E35" s="90" t="n">
        <f aca="false">+IF(B1&lt;N34,IF(B9&lt;2.3,(B9-2.3)*25000*B2,0),0)</f>
        <v>0</v>
      </c>
      <c r="F35" s="81"/>
      <c r="G35" s="81"/>
      <c r="H35" s="81"/>
      <c r="I35" s="81"/>
      <c r="J35" s="81"/>
      <c r="K35" s="81"/>
      <c r="L35" s="109"/>
    </row>
    <row r="36" customFormat="false" ht="13.5" hidden="false" customHeight="false" outlineLevel="0" collapsed="false">
      <c r="A36" s="58" t="s">
        <v>134</v>
      </c>
      <c r="B36" s="110" t="n">
        <f aca="false">SUM(B27:B34)</f>
        <v>13510858.4268</v>
      </c>
      <c r="C36" s="110"/>
      <c r="D36" s="111" t="n">
        <f aca="false">SUM(D27:D34)</f>
        <v>17043477.138</v>
      </c>
      <c r="E36" s="112" t="n">
        <f aca="false">SUM(E27:E35)</f>
        <v>-4953356.76148</v>
      </c>
      <c r="F36" s="81"/>
      <c r="G36" s="81"/>
      <c r="H36" s="113" t="n">
        <f aca="false">SUM(H28:H34)</f>
        <v>5594792</v>
      </c>
      <c r="I36" s="81" t="s">
        <v>135</v>
      </c>
      <c r="J36" s="81"/>
      <c r="K36" s="81"/>
      <c r="L36" s="82"/>
    </row>
    <row r="37" customFormat="false" ht="13.5" hidden="false" customHeight="false" outlineLevel="0" collapsed="false">
      <c r="A37" s="71"/>
      <c r="B37" s="114"/>
      <c r="C37" s="115"/>
      <c r="D37" s="115"/>
      <c r="E37" s="115"/>
      <c r="F37" s="115"/>
      <c r="G37" s="115"/>
      <c r="H37" s="115"/>
      <c r="I37" s="115"/>
      <c r="J37" s="115"/>
      <c r="K37" s="115"/>
      <c r="L37" s="116"/>
    </row>
    <row r="38" customFormat="false" ht="12.75" hidden="false" customHeight="false" outlineLevel="0" collapsed="false">
      <c r="A38" s="117" t="s">
        <v>136</v>
      </c>
      <c r="B38" s="117"/>
      <c r="C38" s="118" t="n">
        <f aca="false">D36+E36-B36</f>
        <v>-1420738.05028</v>
      </c>
      <c r="D38" s="118"/>
    </row>
    <row r="39" customFormat="false" ht="12.75" hidden="false" customHeight="false" outlineLevel="0" collapsed="false">
      <c r="G39" s="40" t="s">
        <v>137</v>
      </c>
      <c r="K39" s="42"/>
      <c r="M39" s="42"/>
    </row>
    <row r="40" customFormat="false" ht="12.75" hidden="false" customHeight="false" outlineLevel="0" collapsed="false">
      <c r="A40" s="83" t="s">
        <v>138</v>
      </c>
      <c r="B40" s="83"/>
      <c r="C40" s="83"/>
      <c r="D40" s="83"/>
      <c r="G40" s="40" t="s">
        <v>139</v>
      </c>
      <c r="I40" s="42"/>
      <c r="J40" s="42"/>
      <c r="K40" s="42"/>
      <c r="L40" s="42"/>
      <c r="M40" s="42"/>
    </row>
    <row r="41" customFormat="false" ht="12.75" hidden="false" customHeight="false" outlineLevel="0" collapsed="false">
      <c r="A41" s="40" t="s">
        <v>140</v>
      </c>
      <c r="D41" s="119" t="n">
        <f aca="false">($H$36-$B$3)*IF(B1&gt;M34,(I34+B9-B13),(I33-B13))</f>
        <v>-2231699.94128</v>
      </c>
      <c r="G41" s="120" t="s">
        <v>141</v>
      </c>
      <c r="H41" s="66"/>
    </row>
    <row r="42" customFormat="false" ht="12.75" hidden="false" customHeight="false" outlineLevel="0" collapsed="false">
      <c r="A42" s="40" t="s">
        <v>142</v>
      </c>
      <c r="D42" s="121" t="n">
        <f aca="false">($M$17-SUM(B17:B19))*(0.769-0.45)</f>
        <v>-17038.109</v>
      </c>
      <c r="H42" s="66"/>
    </row>
    <row r="43" customFormat="false" ht="12.75" hidden="false" customHeight="false" outlineLevel="0" collapsed="false">
      <c r="A43" s="40" t="s">
        <v>143</v>
      </c>
      <c r="D43" s="121" t="n">
        <f aca="false">IF(B1&lt;M29,E32+(2.71-VLOOKUP(B1,'1-10 vols'!A3:AL98,32)-0.769)*VLOOKUP(B1,'1-10 vols'!A3:AL98,31),0)</f>
        <v>0</v>
      </c>
      <c r="H43" s="66"/>
    </row>
    <row r="44" customFormat="false" ht="12.75" hidden="false" customHeight="false" outlineLevel="0" collapsed="false">
      <c r="A44" s="40" t="s">
        <v>144</v>
      </c>
      <c r="D44" s="121" t="n">
        <f aca="false">+E27</f>
        <v>828000</v>
      </c>
      <c r="I44" s="42"/>
      <c r="J44" s="42"/>
      <c r="K44" s="42"/>
      <c r="L44" s="42"/>
      <c r="M44" s="42"/>
    </row>
    <row r="45" customFormat="false" ht="12.75" hidden="false" customHeight="false" outlineLevel="0" collapsed="false">
      <c r="A45" s="40" t="s">
        <v>145</v>
      </c>
      <c r="D45" s="122" t="n">
        <f aca="false">+(B7-B6)*(B13-D7)</f>
        <v>-0</v>
      </c>
      <c r="I45" s="42"/>
      <c r="J45" s="42"/>
      <c r="K45" s="42"/>
      <c r="L45" s="42"/>
      <c r="M45" s="42"/>
    </row>
    <row r="46" customFormat="false" ht="12.75" hidden="false" customHeight="false" outlineLevel="0" collapsed="false">
      <c r="A46" s="40"/>
      <c r="D46" s="121"/>
      <c r="F46" s="42"/>
      <c r="G46" s="42"/>
      <c r="I46" s="42"/>
      <c r="J46" s="42"/>
      <c r="K46" s="42"/>
      <c r="L46" s="42"/>
      <c r="M46" s="42"/>
    </row>
    <row r="47" customFormat="false" ht="13.5" hidden="false" customHeight="false" outlineLevel="0" collapsed="false">
      <c r="A47" s="40" t="s">
        <v>146</v>
      </c>
      <c r="D47" s="123" t="n">
        <f aca="false">SUM(D41:D46)</f>
        <v>-1420738.05028</v>
      </c>
      <c r="E47" s="124"/>
      <c r="F47" s="42"/>
      <c r="G47" s="42"/>
      <c r="I47" s="42"/>
      <c r="J47" s="42"/>
      <c r="K47" s="42"/>
      <c r="L47" s="42"/>
      <c r="M47" s="42"/>
    </row>
    <row r="48" customFormat="false" ht="13.5" hidden="false" customHeight="false" outlineLevel="0" collapsed="false">
      <c r="I48" s="42"/>
      <c r="J48" s="42"/>
      <c r="K48" s="42"/>
      <c r="L48" s="42"/>
      <c r="M48" s="42"/>
    </row>
    <row r="49" customFormat="false" ht="12.75" hidden="false" customHeight="false" outlineLevel="0" collapsed="false">
      <c r="D49" s="119" t="n">
        <f aca="false">+C38-D47</f>
        <v>0</v>
      </c>
      <c r="E49" s="125"/>
      <c r="I49" s="42"/>
      <c r="J49" s="42"/>
      <c r="K49" s="126"/>
      <c r="L49" s="42"/>
      <c r="M49" s="42"/>
    </row>
    <row r="50" customFormat="false" ht="12.75" hidden="false" customHeight="false" outlineLevel="0" collapsed="false">
      <c r="D50" s="72"/>
      <c r="E50" s="127"/>
      <c r="I50" s="42"/>
      <c r="J50" s="42"/>
      <c r="K50" s="42"/>
      <c r="L50" s="42"/>
      <c r="M50" s="42"/>
    </row>
    <row r="51" customFormat="false" ht="12.75" hidden="false" customHeight="false" outlineLevel="0" collapsed="false">
      <c r="D51" s="72"/>
      <c r="E51" s="42"/>
      <c r="I51" s="42"/>
      <c r="J51" s="42"/>
      <c r="K51" s="42"/>
      <c r="L51" s="42"/>
      <c r="M51" s="42"/>
    </row>
    <row r="52" customFormat="false" ht="12.75" hidden="false" customHeight="false" outlineLevel="0" collapsed="false">
      <c r="D52" s="128"/>
      <c r="E52" s="124"/>
    </row>
    <row r="53" customFormat="false" ht="12.75" hidden="false" customHeight="false" outlineLevel="0" collapsed="false">
      <c r="D53" s="42"/>
    </row>
    <row r="54" customFormat="false" ht="12.75" hidden="false" customHeight="false" outlineLevel="0" collapsed="false">
      <c r="D54" s="72"/>
    </row>
    <row r="56" customFormat="false" ht="12.75" hidden="false" customHeight="false" outlineLevel="0" collapsed="false">
      <c r="D56" s="72"/>
    </row>
    <row r="57" customFormat="false" ht="12.75" hidden="false" customHeight="false" outlineLevel="0" collapsed="false">
      <c r="C57" s="72"/>
    </row>
  </sheetData>
  <mergeCells count="14">
    <mergeCell ref="B26:C26"/>
    <mergeCell ref="G26:I26"/>
    <mergeCell ref="B27:C27"/>
    <mergeCell ref="B28:C28"/>
    <mergeCell ref="B29:C29"/>
    <mergeCell ref="B30:C30"/>
    <mergeCell ref="B31:C31"/>
    <mergeCell ref="B32:C32"/>
    <mergeCell ref="B33:C33"/>
    <mergeCell ref="B34:C34"/>
    <mergeCell ref="B36:C36"/>
    <mergeCell ref="A38:B38"/>
    <mergeCell ref="C38:D38"/>
    <mergeCell ref="A40:D4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3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220" ySplit="0" topLeftCell="I1" activePane="topRight" state="split"/>
      <selection pane="topLeft" activeCell="A1" activeCellId="0" sqref="A1"/>
      <selection pane="topRight" activeCell="N8" activeCellId="0" sqref="N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42"/>
    <col collapsed="false" customWidth="true" hidden="false" outlineLevel="0" max="5" min="4" style="0" width="9.85"/>
    <col collapsed="false" customWidth="true" hidden="false" outlineLevel="0" max="9" min="6" style="0" width="9.99"/>
    <col collapsed="false" customWidth="true" hidden="false" outlineLevel="0" max="12" min="12" style="129" width="10.71"/>
    <col collapsed="false" customWidth="true" hidden="false" outlineLevel="0" max="13" min="13" style="0" width="11.42"/>
    <col collapsed="false" customWidth="true" hidden="false" outlineLevel="0" max="14" min="14" style="0" width="10.56"/>
    <col collapsed="false" customWidth="true" hidden="false" outlineLevel="0" max="15" min="15" style="0" width="10.28"/>
    <col collapsed="false" customWidth="true" hidden="false" outlineLevel="0" max="16" min="16" style="0" width="11.28"/>
    <col collapsed="false" customWidth="true" hidden="false" outlineLevel="0" max="19" min="19" style="0" width="11.13"/>
    <col collapsed="false" customWidth="true" hidden="false" outlineLevel="0" max="20" min="20" style="0" width="8.41"/>
    <col collapsed="false" customWidth="true" hidden="false" outlineLevel="0" max="24" min="21" style="0" width="12.56"/>
    <col collapsed="false" customWidth="true" hidden="false" outlineLevel="0" max="25" min="25" style="0" width="10.28"/>
    <col collapsed="false" customWidth="true" hidden="false" outlineLevel="0" max="27" min="26" style="0" width="8.85"/>
    <col collapsed="false" customWidth="true" hidden="false" outlineLevel="0" max="28" min="28" style="0" width="11.28"/>
    <col collapsed="false" customWidth="true" hidden="false" outlineLevel="0" max="29" min="29" style="0" width="8.7"/>
    <col collapsed="false" customWidth="true" hidden="false" outlineLevel="0" max="31" min="30" style="0" width="11.28"/>
    <col collapsed="false" customWidth="true" hidden="false" outlineLevel="0" max="32" min="32" style="0" width="9.41"/>
    <col collapsed="false" customWidth="true" hidden="false" outlineLevel="0" max="35" min="35" style="0" width="8.14"/>
    <col collapsed="false" customWidth="true" hidden="false" outlineLevel="0" max="37" min="37" style="130" width="18.14"/>
  </cols>
  <sheetData>
    <row r="1" customFormat="false" ht="41.25" hidden="false" customHeight="true" outlineLevel="0" collapsed="false">
      <c r="A1" s="131" t="s">
        <v>93</v>
      </c>
      <c r="B1" s="131" t="s">
        <v>96</v>
      </c>
      <c r="C1" s="132" t="s">
        <v>147</v>
      </c>
      <c r="D1" s="132" t="s">
        <v>148</v>
      </c>
      <c r="E1" s="132"/>
      <c r="F1" s="2" t="s">
        <v>149</v>
      </c>
      <c r="G1" s="2"/>
      <c r="H1" s="132" t="s">
        <v>150</v>
      </c>
      <c r="I1" s="132"/>
      <c r="J1" s="131" t="n">
        <v>70549</v>
      </c>
      <c r="K1" s="131"/>
      <c r="L1" s="133" t="n">
        <v>70548</v>
      </c>
      <c r="M1" s="4" t="s">
        <v>151</v>
      </c>
      <c r="N1" s="4"/>
      <c r="O1" s="4"/>
      <c r="P1" s="134" t="s">
        <v>152</v>
      </c>
      <c r="Q1" s="134" t="s">
        <v>153</v>
      </c>
      <c r="S1" s="134" t="s">
        <v>154</v>
      </c>
      <c r="T1" s="135" t="s">
        <v>155</v>
      </c>
      <c r="U1" s="136"/>
      <c r="V1" s="134" t="s">
        <v>156</v>
      </c>
      <c r="W1" s="135" t="s">
        <v>155</v>
      </c>
      <c r="X1" s="136"/>
      <c r="Y1" s="83" t="s">
        <v>157</v>
      </c>
      <c r="Z1" s="135" t="s">
        <v>155</v>
      </c>
      <c r="AA1" s="136"/>
      <c r="AB1" s="83" t="s">
        <v>158</v>
      </c>
      <c r="AC1" s="135" t="s">
        <v>155</v>
      </c>
      <c r="AD1" s="58"/>
      <c r="AE1" s="137" t="s">
        <v>29</v>
      </c>
      <c r="AF1" s="134" t="s">
        <v>159</v>
      </c>
      <c r="AH1" s="138" t="s">
        <v>22</v>
      </c>
      <c r="AI1" s="134" t="s">
        <v>159</v>
      </c>
      <c r="AK1" s="139" t="s">
        <v>160</v>
      </c>
      <c r="AM1" s="138" t="s">
        <v>139</v>
      </c>
    </row>
    <row r="2" customFormat="false" ht="15" hidden="false" customHeight="true" outlineLevel="0" collapsed="false">
      <c r="A2" s="83" t="s">
        <v>161</v>
      </c>
      <c r="B2" s="58"/>
      <c r="C2" s="140" t="s">
        <v>162</v>
      </c>
      <c r="D2" s="140" t="n">
        <v>6</v>
      </c>
      <c r="E2" s="141" t="s">
        <v>163</v>
      </c>
      <c r="F2" s="140" t="n">
        <v>8</v>
      </c>
      <c r="G2" s="142" t="s">
        <v>163</v>
      </c>
      <c r="H2" s="140" t="n">
        <v>9</v>
      </c>
      <c r="I2" s="141" t="s">
        <v>163</v>
      </c>
      <c r="J2" s="84" t="n">
        <v>10</v>
      </c>
      <c r="K2" s="58"/>
      <c r="L2" s="143" t="n">
        <v>1</v>
      </c>
      <c r="P2" s="144" t="n">
        <v>16</v>
      </c>
      <c r="Q2" s="145" t="n">
        <f aca="false">P2+1</f>
        <v>17</v>
      </c>
      <c r="R2" s="145" t="n">
        <f aca="false">Q2+1</f>
        <v>18</v>
      </c>
      <c r="S2" s="145" t="n">
        <f aca="false">R2+1</f>
        <v>19</v>
      </c>
      <c r="T2" s="145" t="n">
        <f aca="false">S2+1</f>
        <v>20</v>
      </c>
      <c r="U2" s="145" t="n">
        <f aca="false">T2+1</f>
        <v>21</v>
      </c>
      <c r="V2" s="145" t="n">
        <f aca="false">U2+1</f>
        <v>22</v>
      </c>
      <c r="W2" s="145" t="n">
        <f aca="false">V2+1</f>
        <v>23</v>
      </c>
      <c r="X2" s="145" t="n">
        <f aca="false">W2+1</f>
        <v>24</v>
      </c>
      <c r="Y2" s="145" t="n">
        <f aca="false">X2+1</f>
        <v>25</v>
      </c>
      <c r="Z2" s="145" t="n">
        <f aca="false">Y2+1</f>
        <v>26</v>
      </c>
      <c r="AA2" s="145" t="n">
        <f aca="false">Z2+1</f>
        <v>27</v>
      </c>
      <c r="AB2" s="145" t="n">
        <f aca="false">AA2+1</f>
        <v>28</v>
      </c>
      <c r="AC2" s="145" t="n">
        <f aca="false">AB2+1</f>
        <v>29</v>
      </c>
      <c r="AD2" s="145" t="n">
        <f aca="false">AC2+1</f>
        <v>30</v>
      </c>
      <c r="AE2" s="145" t="n">
        <f aca="false">AD2+1</f>
        <v>31</v>
      </c>
      <c r="AF2" s="145" t="n">
        <f aca="false">AE2+1</f>
        <v>32</v>
      </c>
      <c r="AG2" s="145" t="n">
        <f aca="false">AF2+1</f>
        <v>33</v>
      </c>
      <c r="AH2" s="145" t="n">
        <f aca="false">AG2+1</f>
        <v>34</v>
      </c>
      <c r="AI2" s="145" t="n">
        <f aca="false">AH2+1</f>
        <v>35</v>
      </c>
      <c r="AJ2" s="145" t="n">
        <f aca="false">AI2+1</f>
        <v>36</v>
      </c>
      <c r="AK2" s="145" t="n">
        <f aca="false">AJ2+1</f>
        <v>37</v>
      </c>
      <c r="AL2" s="145" t="n">
        <f aca="false">AK2+1</f>
        <v>38</v>
      </c>
      <c r="AM2" s="145" t="n">
        <f aca="false">AL2+1</f>
        <v>39</v>
      </c>
    </row>
    <row r="3" customFormat="false" ht="12.75" hidden="false" customHeight="false" outlineLevel="0" collapsed="false">
      <c r="A3" s="146" t="n">
        <v>36251</v>
      </c>
      <c r="B3" s="147" t="n">
        <v>30</v>
      </c>
      <c r="C3" s="148" t="n">
        <f aca="false">20500*B3</f>
        <v>615000</v>
      </c>
      <c r="D3" s="148" t="n">
        <f aca="false">15/(15+22+24)*Y3</f>
        <v>62112.5409836066</v>
      </c>
      <c r="E3" s="148" t="n">
        <f aca="false">D3/B3</f>
        <v>2070.41803278689</v>
      </c>
      <c r="F3" s="148" t="n">
        <f aca="false">22/(15+22+24)*Y3</f>
        <v>91098.393442623</v>
      </c>
      <c r="G3" s="148" t="n">
        <f aca="false">F3/B3</f>
        <v>3036.6131147541</v>
      </c>
      <c r="H3" s="148" t="n">
        <f aca="false">24/(15+22+24)*Y3</f>
        <v>99380.0655737705</v>
      </c>
      <c r="I3" s="148" t="n">
        <f aca="false">H3/B3</f>
        <v>3312.66885245902</v>
      </c>
      <c r="J3" s="148" t="n">
        <f aca="false">5000*B3</f>
        <v>150000</v>
      </c>
      <c r="K3" s="148"/>
      <c r="L3" s="148" t="n">
        <f aca="false">S3-J3-C3+AB3</f>
        <v>1582420</v>
      </c>
      <c r="M3" s="148" t="n">
        <f aca="false">L3/B3</f>
        <v>52747.3333333333</v>
      </c>
      <c r="N3" s="149"/>
      <c r="O3" s="149"/>
      <c r="P3" s="44" t="n">
        <f aca="false">S3+Y3+AB3</f>
        <v>2600011</v>
      </c>
      <c r="Q3" s="148" t="n">
        <f aca="false">P3/B3</f>
        <v>86667.0333333333</v>
      </c>
      <c r="R3" s="12"/>
      <c r="S3" s="148" t="n">
        <v>2152420</v>
      </c>
      <c r="T3" s="150" t="n">
        <v>0.7092</v>
      </c>
      <c r="U3" s="148"/>
      <c r="V3" s="148" t="n">
        <v>0</v>
      </c>
      <c r="W3" s="148" t="n">
        <v>0</v>
      </c>
      <c r="X3" s="148"/>
      <c r="Y3" s="151" t="n">
        <v>252591</v>
      </c>
      <c r="Z3" s="152" t="n">
        <v>0.39</v>
      </c>
      <c r="AA3" s="148"/>
      <c r="AB3" s="148" t="n">
        <v>195000</v>
      </c>
      <c r="AC3" s="153" t="n">
        <v>0.343</v>
      </c>
      <c r="AD3" s="148"/>
      <c r="AE3" s="148" t="n">
        <f aca="false">5000*B3</f>
        <v>150000</v>
      </c>
      <c r="AF3" s="153" t="n">
        <v>1.841</v>
      </c>
      <c r="AG3" s="154"/>
      <c r="AH3" s="148" t="n">
        <f aca="false">5000*B3</f>
        <v>150000</v>
      </c>
      <c r="AI3" s="12" t="n">
        <v>2.267</v>
      </c>
      <c r="AJ3" s="12"/>
      <c r="AK3" s="130" t="n">
        <f aca="false">61000*B3*0.017</f>
        <v>31110</v>
      </c>
      <c r="AM3" s="130" t="n">
        <v>-49538</v>
      </c>
    </row>
    <row r="4" customFormat="false" ht="12.75" hidden="false" customHeight="false" outlineLevel="0" collapsed="false">
      <c r="A4" s="146" t="n">
        <v>36281</v>
      </c>
      <c r="B4" s="147" t="n">
        <v>31</v>
      </c>
      <c r="C4" s="148" t="n">
        <f aca="false">20500*B4</f>
        <v>635500</v>
      </c>
      <c r="D4" s="148" t="n">
        <f aca="false">15/(15+22+24)*(Y4-4000*B4)</f>
        <v>22146.1475409836</v>
      </c>
      <c r="E4" s="148" t="n">
        <f aca="false">D4/B4</f>
        <v>714.391856160761</v>
      </c>
      <c r="F4" s="148" t="n">
        <f aca="false">22/(15+22+24)*(Y4-4000*B4)</f>
        <v>32481.0163934426</v>
      </c>
      <c r="G4" s="148" t="n">
        <f aca="false">F4/B4</f>
        <v>1047.77472236912</v>
      </c>
      <c r="H4" s="148" t="n">
        <f aca="false">24/(15+22+24)*(Y4-4000*B4)</f>
        <v>35433.8360655738</v>
      </c>
      <c r="I4" s="148" t="n">
        <f aca="false">H4/B4</f>
        <v>1143.02696985722</v>
      </c>
      <c r="J4" s="148" t="n">
        <f aca="false">5000*B4</f>
        <v>155000</v>
      </c>
      <c r="K4" s="148"/>
      <c r="L4" s="148" t="n">
        <f aca="false">S4-J4-C4+AB4+4000*B4</f>
        <v>1086262.3</v>
      </c>
      <c r="M4" s="148" t="n">
        <f aca="false">L4/B4</f>
        <v>35040.7193548387</v>
      </c>
      <c r="N4" s="149"/>
      <c r="O4" s="149"/>
      <c r="P4" s="44" t="n">
        <f aca="false">S4+Y4+AB4</f>
        <v>1966823.3</v>
      </c>
      <c r="Q4" s="148" t="n">
        <f aca="false">P4/B4</f>
        <v>63445.9129032258</v>
      </c>
      <c r="R4" s="12"/>
      <c r="S4" s="148" t="n">
        <v>1551262.3</v>
      </c>
      <c r="T4" s="150" t="n">
        <v>0.7092</v>
      </c>
      <c r="U4" s="148"/>
      <c r="V4" s="148" t="n">
        <v>0</v>
      </c>
      <c r="W4" s="148" t="n">
        <v>0</v>
      </c>
      <c r="X4" s="148"/>
      <c r="Y4" s="151" t="n">
        <v>214061</v>
      </c>
      <c r="Z4" s="152" t="n">
        <v>0.39</v>
      </c>
      <c r="AA4" s="148"/>
      <c r="AB4" s="148" t="n">
        <v>201500</v>
      </c>
      <c r="AC4" s="153" t="n">
        <v>0.343</v>
      </c>
      <c r="AD4" s="148"/>
      <c r="AE4" s="148" t="n">
        <f aca="false">5000*B4</f>
        <v>155000</v>
      </c>
      <c r="AF4" s="153" t="n">
        <v>1.841</v>
      </c>
      <c r="AG4" s="154"/>
      <c r="AH4" s="148" t="n">
        <f aca="false">5000*B4</f>
        <v>155000</v>
      </c>
      <c r="AI4" s="12" t="n">
        <v>2.267</v>
      </c>
      <c r="AJ4" s="12"/>
      <c r="AK4" s="130" t="n">
        <f aca="false">61000*B4*0.017</f>
        <v>32147</v>
      </c>
      <c r="AM4" s="130" t="n">
        <v>-49538</v>
      </c>
    </row>
    <row r="5" customFormat="false" ht="12.75" hidden="false" customHeight="false" outlineLevel="0" collapsed="false">
      <c r="A5" s="146" t="n">
        <v>36312</v>
      </c>
      <c r="B5" s="147" t="n">
        <v>30</v>
      </c>
      <c r="C5" s="148" t="n">
        <f aca="false">20500*B5</f>
        <v>615000</v>
      </c>
      <c r="D5" s="148" t="n">
        <f aca="false">15/(15+22+24)*(Y5-4000*B5)</f>
        <v>15965.1639344262</v>
      </c>
      <c r="E5" s="148" t="n">
        <f aca="false">D5/B5</f>
        <v>532.172131147541</v>
      </c>
      <c r="F5" s="148" t="n">
        <f aca="false">22/(15+22+24)*(Y5-4000*B5)</f>
        <v>23415.5737704918</v>
      </c>
      <c r="G5" s="148" t="n">
        <f aca="false">F5/B5</f>
        <v>780.51912568306</v>
      </c>
      <c r="H5" s="148" t="n">
        <f aca="false">24/(15+22+24)*(Y5-4000*B5)</f>
        <v>25544.262295082</v>
      </c>
      <c r="I5" s="148" t="n">
        <f aca="false">H5/B5</f>
        <v>851.475409836066</v>
      </c>
      <c r="J5" s="148" t="n">
        <f aca="false">5000*B5</f>
        <v>150000</v>
      </c>
      <c r="K5" s="148"/>
      <c r="L5" s="148" t="n">
        <f aca="false">S5-J5-C5+AB5+4000*B5</f>
        <v>596386.3</v>
      </c>
      <c r="M5" s="148" t="n">
        <f aca="false">L5/B5</f>
        <v>19879.5433333333</v>
      </c>
      <c r="N5" s="149"/>
      <c r="O5" s="149"/>
      <c r="P5" s="44" t="n">
        <f aca="false">S5+Y5+AB5</f>
        <v>1426311.3</v>
      </c>
      <c r="Q5" s="148" t="n">
        <f aca="false">P5/B5</f>
        <v>47543.71</v>
      </c>
      <c r="R5" s="12"/>
      <c r="S5" s="148" t="n">
        <v>1046386.3</v>
      </c>
      <c r="T5" s="150" t="n">
        <v>0.7092</v>
      </c>
      <c r="U5" s="148"/>
      <c r="V5" s="148" t="n">
        <v>0</v>
      </c>
      <c r="W5" s="148" t="n">
        <v>0</v>
      </c>
      <c r="X5" s="148"/>
      <c r="Y5" s="151" t="n">
        <v>184925</v>
      </c>
      <c r="Z5" s="152" t="n">
        <v>0.39</v>
      </c>
      <c r="AA5" s="148"/>
      <c r="AB5" s="148" t="n">
        <v>195000</v>
      </c>
      <c r="AC5" s="153" t="n">
        <v>0.343</v>
      </c>
      <c r="AD5" s="148"/>
      <c r="AE5" s="148" t="n">
        <f aca="false">5000*B5</f>
        <v>150000</v>
      </c>
      <c r="AF5" s="153" t="n">
        <v>1.841</v>
      </c>
      <c r="AG5" s="154"/>
      <c r="AH5" s="148" t="n">
        <f aca="false">5000*B5</f>
        <v>150000</v>
      </c>
      <c r="AI5" s="12" t="n">
        <v>2.267</v>
      </c>
      <c r="AJ5" s="12"/>
      <c r="AK5" s="130" t="n">
        <f aca="false">61000*B5*0.017</f>
        <v>31110</v>
      </c>
      <c r="AM5" s="130" t="n">
        <v>-49538</v>
      </c>
    </row>
    <row r="6" customFormat="false" ht="12.75" hidden="false" customHeight="false" outlineLevel="0" collapsed="false">
      <c r="A6" s="146" t="n">
        <v>36342</v>
      </c>
      <c r="B6" s="147" t="n">
        <v>31</v>
      </c>
      <c r="C6" s="148" t="n">
        <f aca="false">20500*B6</f>
        <v>635500</v>
      </c>
      <c r="D6" s="148" t="n">
        <f aca="false">15/(15+22+24)*(Y6-4000*B6)</f>
        <v>17447.7049180328</v>
      </c>
      <c r="E6" s="148" t="n">
        <f aca="false">D6/B6</f>
        <v>562.829190904283</v>
      </c>
      <c r="F6" s="148" t="n">
        <f aca="false">22/(15+22+24)*(Y6-4000*B6)</f>
        <v>25589.9672131148</v>
      </c>
      <c r="G6" s="148" t="n">
        <f aca="false">F6/B6</f>
        <v>825.482813326282</v>
      </c>
      <c r="H6" s="148" t="n">
        <f aca="false">24/(15+22+24)*(Y6-4000*B6)</f>
        <v>27916.3278688525</v>
      </c>
      <c r="I6" s="148" t="n">
        <f aca="false">H6/B6</f>
        <v>900.526705446854</v>
      </c>
      <c r="J6" s="148" t="n">
        <f aca="false">5000*B6</f>
        <v>155000</v>
      </c>
      <c r="K6" s="148"/>
      <c r="L6" s="148" t="n">
        <f aca="false">S6-J6-C6+AB6+4000*B6</f>
        <v>634169.5</v>
      </c>
      <c r="M6" s="148" t="n">
        <f aca="false">L6/B6</f>
        <v>20457.0806451613</v>
      </c>
      <c r="N6" s="149"/>
      <c r="O6" s="149"/>
      <c r="P6" s="44" t="n">
        <f aca="false">S6+Y6+AB6</f>
        <v>1495623.5</v>
      </c>
      <c r="Q6" s="148" t="n">
        <f aca="false">P6/B6</f>
        <v>48245.9193548387</v>
      </c>
      <c r="R6" s="12"/>
      <c r="S6" s="148" t="n">
        <v>1099169.5</v>
      </c>
      <c r="T6" s="150" t="n">
        <v>0.7092</v>
      </c>
      <c r="U6" s="148"/>
      <c r="V6" s="148" t="n">
        <v>0</v>
      </c>
      <c r="W6" s="148" t="n">
        <v>0</v>
      </c>
      <c r="X6" s="148"/>
      <c r="Y6" s="151" t="n">
        <v>194954</v>
      </c>
      <c r="Z6" s="152" t="n">
        <v>0.39</v>
      </c>
      <c r="AA6" s="148"/>
      <c r="AB6" s="148" t="n">
        <v>201500</v>
      </c>
      <c r="AC6" s="153" t="n">
        <v>0.343</v>
      </c>
      <c r="AD6" s="148"/>
      <c r="AE6" s="148" t="n">
        <f aca="false">5000*B6</f>
        <v>155000</v>
      </c>
      <c r="AF6" s="153" t="n">
        <v>1.841</v>
      </c>
      <c r="AG6" s="154"/>
      <c r="AH6" s="148" t="n">
        <f aca="false">5000*B6</f>
        <v>155000</v>
      </c>
      <c r="AI6" s="12" t="n">
        <v>2.267</v>
      </c>
      <c r="AJ6" s="12"/>
      <c r="AK6" s="130" t="n">
        <f aca="false">61000*B6*0.017</f>
        <v>32147</v>
      </c>
      <c r="AM6" s="130" t="n">
        <v>-49538</v>
      </c>
    </row>
    <row r="7" customFormat="false" ht="12.75" hidden="false" customHeight="false" outlineLevel="0" collapsed="false">
      <c r="A7" s="146" t="n">
        <v>36373</v>
      </c>
      <c r="B7" s="147" t="n">
        <v>31</v>
      </c>
      <c r="C7" s="148" t="n">
        <f aca="false">20500*B7</f>
        <v>635500</v>
      </c>
      <c r="D7" s="148" t="n">
        <f aca="false">15/(15+22+24)*(Y7-4000*B7)</f>
        <v>16708.2786885246</v>
      </c>
      <c r="E7" s="148" t="n">
        <f aca="false">D7/B7</f>
        <v>538.97673188789</v>
      </c>
      <c r="F7" s="148" t="n">
        <f aca="false">22/(15+22+24)*(Y7-4000*B7)</f>
        <v>24505.4754098361</v>
      </c>
      <c r="G7" s="148" t="n">
        <f aca="false">F7/B7</f>
        <v>790.499206768905</v>
      </c>
      <c r="H7" s="148" t="n">
        <f aca="false">24/(15+22+24)*(Y7-4000*B7)</f>
        <v>26733.2459016393</v>
      </c>
      <c r="I7" s="148" t="n">
        <f aca="false">H7/B7</f>
        <v>862.362771020624</v>
      </c>
      <c r="J7" s="148" t="n">
        <f aca="false">5000*B7</f>
        <v>155000</v>
      </c>
      <c r="K7" s="148"/>
      <c r="L7" s="148" t="n">
        <f aca="false">S7-J7-C7+AB7+4000*B7</f>
        <v>1043543.8</v>
      </c>
      <c r="M7" s="148" t="n">
        <f aca="false">L7/B7</f>
        <v>33662.7032258065</v>
      </c>
      <c r="N7" s="149"/>
      <c r="O7" s="149"/>
      <c r="P7" s="44" t="n">
        <f aca="false">S7+Y7+AB7</f>
        <v>1901990.8</v>
      </c>
      <c r="Q7" s="148" t="n">
        <f aca="false">P7/B7</f>
        <v>61354.5419354839</v>
      </c>
      <c r="R7" s="12"/>
      <c r="S7" s="148" t="n">
        <v>1508543.8</v>
      </c>
      <c r="T7" s="150" t="n">
        <v>0.709</v>
      </c>
      <c r="U7" s="148"/>
      <c r="V7" s="148" t="n">
        <v>0</v>
      </c>
      <c r="W7" s="148" t="n">
        <v>0</v>
      </c>
      <c r="X7" s="148"/>
      <c r="Y7" s="151" t="n">
        <v>191947</v>
      </c>
      <c r="Z7" s="152" t="n">
        <v>0.39</v>
      </c>
      <c r="AA7" s="148"/>
      <c r="AB7" s="148" t="n">
        <v>201500</v>
      </c>
      <c r="AC7" s="153" t="n">
        <v>0.343</v>
      </c>
      <c r="AD7" s="148"/>
      <c r="AE7" s="148" t="n">
        <f aca="false">5000*B7</f>
        <v>155000</v>
      </c>
      <c r="AF7" s="153" t="n">
        <v>1.841</v>
      </c>
      <c r="AG7" s="154"/>
      <c r="AH7" s="148" t="n">
        <f aca="false">5000*B7</f>
        <v>155000</v>
      </c>
      <c r="AI7" s="12" t="n">
        <v>2.267</v>
      </c>
      <c r="AJ7" s="12"/>
      <c r="AK7" s="130" t="n">
        <f aca="false">61000*B7*0.017</f>
        <v>32147</v>
      </c>
      <c r="AM7" s="130" t="n">
        <v>-31000</v>
      </c>
    </row>
    <row r="8" customFormat="false" ht="12.75" hidden="false" customHeight="false" outlineLevel="0" collapsed="false">
      <c r="A8" s="146" t="n">
        <v>36404</v>
      </c>
      <c r="B8" s="147" t="n">
        <v>30</v>
      </c>
      <c r="C8" s="148" t="n">
        <f aca="false">20500*B8</f>
        <v>615000</v>
      </c>
      <c r="D8" s="148" t="n">
        <f aca="false">15/(15+22+24)*(Y8-4000*B8)</f>
        <v>14722.3770491803</v>
      </c>
      <c r="E8" s="148" t="n">
        <f aca="false">D8/B8</f>
        <v>490.745901639344</v>
      </c>
      <c r="F8" s="148" t="n">
        <f aca="false">22/(15+22+24)*(Y8-4000*B8)</f>
        <v>21592.8196721311</v>
      </c>
      <c r="G8" s="148" t="n">
        <f aca="false">F8/B8</f>
        <v>719.760655737705</v>
      </c>
      <c r="H8" s="148" t="n">
        <f aca="false">24/(15+22+24)*(Y8-4000*B8)</f>
        <v>23555.8032786885</v>
      </c>
      <c r="I8" s="148" t="n">
        <f aca="false">H8/B8</f>
        <v>785.193442622951</v>
      </c>
      <c r="J8" s="148" t="n">
        <f aca="false">5000*B8</f>
        <v>150000</v>
      </c>
      <c r="K8" s="148"/>
      <c r="L8" s="148" t="n">
        <f aca="false">S8-J8-C8+AB8+4000*B8</f>
        <v>801614.3</v>
      </c>
      <c r="M8" s="148" t="n">
        <f aca="false">L8/B8</f>
        <v>26720.4766666667</v>
      </c>
      <c r="N8" s="149"/>
      <c r="O8" s="149"/>
      <c r="P8" s="44" t="n">
        <f aca="false">S8+Y8+AB8</f>
        <v>1626485.3</v>
      </c>
      <c r="Q8" s="148" t="n">
        <f aca="false">P8/B8</f>
        <v>54216.1766666667</v>
      </c>
      <c r="R8" s="12"/>
      <c r="S8" s="148" t="n">
        <v>1251614.3</v>
      </c>
      <c r="T8" s="150" t="n">
        <v>0.709</v>
      </c>
      <c r="U8" s="148"/>
      <c r="V8" s="148" t="n">
        <v>0</v>
      </c>
      <c r="W8" s="148" t="n">
        <v>0</v>
      </c>
      <c r="X8" s="148"/>
      <c r="Y8" s="151" t="n">
        <v>179871</v>
      </c>
      <c r="Z8" s="152" t="n">
        <v>0.39</v>
      </c>
      <c r="AA8" s="148"/>
      <c r="AB8" s="148" t="n">
        <v>195000</v>
      </c>
      <c r="AC8" s="153" t="n">
        <v>0.343</v>
      </c>
      <c r="AD8" s="148"/>
      <c r="AE8" s="148" t="n">
        <f aca="false">5000*B8</f>
        <v>150000</v>
      </c>
      <c r="AF8" s="153" t="n">
        <v>1.841</v>
      </c>
      <c r="AG8" s="154"/>
      <c r="AH8" s="148" t="n">
        <f aca="false">5000*B8</f>
        <v>150000</v>
      </c>
      <c r="AI8" s="12" t="n">
        <v>2.267</v>
      </c>
      <c r="AJ8" s="12"/>
      <c r="AK8" s="130" t="n">
        <f aca="false">61000*B8*0.017</f>
        <v>31110</v>
      </c>
      <c r="AM8" s="130" t="n">
        <v>-30000</v>
      </c>
    </row>
    <row r="9" customFormat="false" ht="12.75" hidden="false" customHeight="false" outlineLevel="0" collapsed="false">
      <c r="A9" s="146" t="n">
        <v>36434</v>
      </c>
      <c r="B9" s="147" t="n">
        <v>31</v>
      </c>
      <c r="C9" s="148" t="n">
        <f aca="false">15500*B9</f>
        <v>480500</v>
      </c>
      <c r="D9" s="148" t="n">
        <f aca="false">15/(15+22+24)*(Y9-4000*B9)</f>
        <v>29532.2950819672</v>
      </c>
      <c r="E9" s="148" t="n">
        <f aca="false">D9/B9</f>
        <v>952.654680063458</v>
      </c>
      <c r="F9" s="148" t="n">
        <f aca="false">22/(15+22+24)*(Y9-4000*B9)</f>
        <v>43314.0327868853</v>
      </c>
      <c r="G9" s="148" t="n">
        <f aca="false">F9/B9</f>
        <v>1397.22686409307</v>
      </c>
      <c r="H9" s="148" t="n">
        <f aca="false">24/(15+22+24)*(Y9-4000*B9)</f>
        <v>47251.6721311475</v>
      </c>
      <c r="I9" s="148" t="n">
        <f aca="false">H9/B9</f>
        <v>1524.24748810153</v>
      </c>
      <c r="J9" s="148" t="n">
        <f aca="false">5000*B9</f>
        <v>155000</v>
      </c>
      <c r="K9" s="148"/>
      <c r="L9" s="148" t="n">
        <f aca="false">S9-J9-C9+AB9+4000*B9</f>
        <v>1428522.6</v>
      </c>
      <c r="M9" s="148" t="n">
        <f aca="false">L9/B9</f>
        <v>46081.3741935484</v>
      </c>
      <c r="N9" s="149"/>
      <c r="O9" s="149"/>
      <c r="P9" s="44" t="n">
        <f aca="false">S9+Y9+AB9</f>
        <v>2184120.6</v>
      </c>
      <c r="Q9" s="148" t="n">
        <f aca="false">P9/B9</f>
        <v>70455.5032258065</v>
      </c>
      <c r="R9" s="12"/>
      <c r="S9" s="148" t="n">
        <v>1738522.6</v>
      </c>
      <c r="T9" s="150" t="n">
        <v>0.709</v>
      </c>
      <c r="U9" s="148"/>
      <c r="V9" s="148" t="n">
        <v>0</v>
      </c>
      <c r="W9" s="155" t="n">
        <v>0</v>
      </c>
      <c r="X9" s="148"/>
      <c r="Y9" s="151" t="n">
        <v>244098</v>
      </c>
      <c r="Z9" s="152" t="n">
        <v>0.39</v>
      </c>
      <c r="AA9" s="148"/>
      <c r="AB9" s="148" t="n">
        <v>201500</v>
      </c>
      <c r="AC9" s="153" t="n">
        <v>0.343</v>
      </c>
      <c r="AD9" s="148"/>
      <c r="AE9" s="148" t="n">
        <f aca="false">5000*B9</f>
        <v>155000</v>
      </c>
      <c r="AF9" s="153" t="n">
        <v>1.841</v>
      </c>
      <c r="AG9" s="154"/>
      <c r="AH9" s="148"/>
      <c r="AI9" s="12"/>
      <c r="AJ9" s="12"/>
      <c r="AK9" s="130" t="n">
        <f aca="false">61000*B9*0.017</f>
        <v>32147</v>
      </c>
      <c r="AM9" s="130" t="n">
        <v>-15500</v>
      </c>
    </row>
    <row r="10" customFormat="false" ht="12.75" hidden="false" customHeight="false" outlineLevel="0" collapsed="false">
      <c r="A10" s="146" t="n">
        <v>36465</v>
      </c>
      <c r="B10" s="147" t="n">
        <v>30</v>
      </c>
      <c r="C10" s="148" t="n">
        <f aca="false">15500*B10</f>
        <v>465000</v>
      </c>
      <c r="D10" s="148" t="n">
        <f aca="false">15/(15+22+24)*(Y10-4000*B10)</f>
        <v>55095</v>
      </c>
      <c r="E10" s="148" t="n">
        <f aca="false">D10/B10</f>
        <v>1836.5</v>
      </c>
      <c r="F10" s="148" t="n">
        <f aca="false">22/(15+22+24)*(Y10-4000*B10)</f>
        <v>80806</v>
      </c>
      <c r="G10" s="148" t="n">
        <f aca="false">F10/B10</f>
        <v>2693.53333333333</v>
      </c>
      <c r="H10" s="148" t="n">
        <f aca="false">24/(15+22+24)*(Y10-4000*B10)</f>
        <v>88152</v>
      </c>
      <c r="I10" s="148" t="n">
        <f aca="false">H10/B10</f>
        <v>2938.4</v>
      </c>
      <c r="J10" s="148" t="n">
        <f aca="false">5000*B10</f>
        <v>150000</v>
      </c>
      <c r="K10" s="148"/>
      <c r="L10" s="148" t="n">
        <f aca="false">S10-J10-C10+AB10+4000*B10</f>
        <v>2599005.8</v>
      </c>
      <c r="M10" s="148" t="n">
        <f aca="false">L10/B10</f>
        <v>86633.5266666667</v>
      </c>
      <c r="N10" s="149"/>
      <c r="O10" s="149"/>
      <c r="P10" s="44" t="n">
        <f aca="false">S10+Y10+AB10+V10</f>
        <v>3438058.8</v>
      </c>
      <c r="Q10" s="148" t="n">
        <f aca="false">P10/B10</f>
        <v>114601.96</v>
      </c>
      <c r="R10" s="12"/>
      <c r="S10" s="148" t="n">
        <f aca="false">3649005.8-25000*B10</f>
        <v>2899005.8</v>
      </c>
      <c r="T10" s="150" t="n">
        <v>0.6689</v>
      </c>
      <c r="U10" s="148"/>
      <c r="V10" s="148" t="n">
        <v>0</v>
      </c>
      <c r="W10" s="150" t="n">
        <v>0</v>
      </c>
      <c r="X10" s="148"/>
      <c r="Y10" s="151" t="n">
        <v>344053</v>
      </c>
      <c r="Z10" s="152" t="n">
        <v>0.349930127840375</v>
      </c>
      <c r="AA10" s="148"/>
      <c r="AB10" s="148" t="n">
        <v>195000</v>
      </c>
      <c r="AC10" s="153" t="n">
        <v>0.302930127840375</v>
      </c>
      <c r="AD10" s="148"/>
      <c r="AE10" s="148" t="n">
        <f aca="false">5000*B10</f>
        <v>150000</v>
      </c>
      <c r="AF10" s="153" t="n">
        <v>1.841</v>
      </c>
      <c r="AG10" s="154"/>
      <c r="AH10" s="148"/>
      <c r="AI10" s="12"/>
      <c r="AJ10" s="12"/>
      <c r="AK10" s="130" t="n">
        <f aca="false">780000+260000+100000</f>
        <v>1140000</v>
      </c>
      <c r="AM10" s="130" t="n">
        <v>-15000</v>
      </c>
    </row>
    <row r="11" customFormat="false" ht="12.75" hidden="false" customHeight="false" outlineLevel="0" collapsed="false">
      <c r="A11" s="146" t="n">
        <v>36495</v>
      </c>
      <c r="B11" s="147" t="n">
        <v>31</v>
      </c>
      <c r="C11" s="148" t="n">
        <f aca="false">15500*B11</f>
        <v>480500</v>
      </c>
      <c r="D11" s="148" t="n">
        <f aca="false">15/(15+22+24)*(Y11-4000*B11)</f>
        <v>76557.5409836066</v>
      </c>
      <c r="E11" s="148" t="n">
        <f aca="false">D11/B11</f>
        <v>2469.59809624537</v>
      </c>
      <c r="F11" s="148" t="n">
        <f aca="false">22/(15+22+24)*(Y11-4000*B11)</f>
        <v>112284.393442623</v>
      </c>
      <c r="G11" s="148" t="n">
        <f aca="false">F11/B11</f>
        <v>3622.07720782655</v>
      </c>
      <c r="H11" s="148" t="n">
        <f aca="false">24/(15+22+24)*(Y11-4000*B11)</f>
        <v>122492.065573771</v>
      </c>
      <c r="I11" s="148" t="n">
        <f aca="false">H11/B11</f>
        <v>3951.3569539926</v>
      </c>
      <c r="J11" s="148" t="n">
        <f aca="false">5000*B11</f>
        <v>155000</v>
      </c>
      <c r="K11" s="148"/>
      <c r="L11" s="148" t="n">
        <f aca="false">S11-J11-C11+AB11+4000*B11</f>
        <v>5425388</v>
      </c>
      <c r="M11" s="148" t="n">
        <f aca="false">L11/B11</f>
        <v>175012.516129032</v>
      </c>
      <c r="N11" s="149"/>
      <c r="O11" s="149"/>
      <c r="P11" s="44" t="n">
        <f aca="false">S11+Y11+AB11+V11</f>
        <v>6372222</v>
      </c>
      <c r="Q11" s="148" t="n">
        <f aca="false">P11/B11</f>
        <v>205555.548387097</v>
      </c>
      <c r="R11" s="12"/>
      <c r="S11" s="148" t="n">
        <f aca="false">6510388-25000*B11</f>
        <v>5735388</v>
      </c>
      <c r="T11" s="150" t="n">
        <v>0.6733</v>
      </c>
      <c r="U11" s="148"/>
      <c r="V11" s="148" t="n">
        <v>0</v>
      </c>
      <c r="W11" s="150" t="n">
        <v>0</v>
      </c>
      <c r="X11" s="148"/>
      <c r="Y11" s="151" t="n">
        <v>435334</v>
      </c>
      <c r="Z11" s="152" t="n">
        <v>0.3543</v>
      </c>
      <c r="AA11" s="156"/>
      <c r="AB11" s="148" t="n">
        <v>201500</v>
      </c>
      <c r="AC11" s="153" t="n">
        <v>0.3073</v>
      </c>
      <c r="AD11" s="150"/>
      <c r="AE11" s="148" t="n">
        <f aca="false">5000*B11</f>
        <v>155000</v>
      </c>
      <c r="AF11" s="153" t="n">
        <v>1.841</v>
      </c>
      <c r="AG11" s="157"/>
      <c r="AH11" s="157"/>
      <c r="AI11" s="12"/>
      <c r="AJ11" s="12"/>
      <c r="AK11" s="130" t="n">
        <f aca="false">780000+260000+100000</f>
        <v>1140000</v>
      </c>
      <c r="AM11" s="130" t="n">
        <v>-19530</v>
      </c>
    </row>
    <row r="12" customFormat="false" ht="12.75" hidden="false" customHeight="false" outlineLevel="0" collapsed="false">
      <c r="A12" s="146" t="n">
        <v>36526</v>
      </c>
      <c r="B12" s="147" t="n">
        <v>31</v>
      </c>
      <c r="C12" s="148" t="n">
        <f aca="false">15500*B12</f>
        <v>480500</v>
      </c>
      <c r="D12" s="148" t="n">
        <f aca="false">15/(15+22+24)*(Y12-4000*B12)</f>
        <v>100964.508196721</v>
      </c>
      <c r="E12" s="148" t="n">
        <f aca="false">D12/B12</f>
        <v>3256.91961924907</v>
      </c>
      <c r="F12" s="148" t="n">
        <f aca="false">22/(15+22+24)*(Y12-4000*B12)</f>
        <v>148081.278688525</v>
      </c>
      <c r="G12" s="148" t="n">
        <f aca="false">F12/B12</f>
        <v>4776.81544156531</v>
      </c>
      <c r="H12" s="148" t="n">
        <f aca="false">24/(15+22+24)*(Y12-4000*B12)</f>
        <v>161543.213114754</v>
      </c>
      <c r="I12" s="148" t="n">
        <f aca="false">H12/B12</f>
        <v>5211.07139079852</v>
      </c>
      <c r="J12" s="148" t="n">
        <f aca="false">5000*B12</f>
        <v>155000</v>
      </c>
      <c r="K12" s="148"/>
      <c r="L12" s="148" t="n">
        <f aca="false">S12-J12-C12+AB12+4000*B12</f>
        <v>6979707.8</v>
      </c>
      <c r="M12" s="148" t="n">
        <f aca="false">L12/B12</f>
        <v>225151.864516129</v>
      </c>
      <c r="N12" s="149"/>
      <c r="O12" s="149"/>
      <c r="P12" s="44" t="n">
        <f aca="false">S12+Y12+AB12+V12</f>
        <v>8025796.8</v>
      </c>
      <c r="Q12" s="148" t="n">
        <f aca="false">P12/B12</f>
        <v>258896.670967742</v>
      </c>
      <c r="R12" s="12"/>
      <c r="S12" s="148" t="n">
        <f aca="false">8064707.8-25000*B12</f>
        <v>7289707.8</v>
      </c>
      <c r="T12" s="150" t="n">
        <v>0.6811</v>
      </c>
      <c r="U12" s="148"/>
      <c r="V12" s="148" t="n">
        <v>0</v>
      </c>
      <c r="W12" s="150" t="n">
        <v>0</v>
      </c>
      <c r="X12" s="148"/>
      <c r="Y12" s="151" t="n">
        <v>534589</v>
      </c>
      <c r="Z12" s="152" t="n">
        <v>0.3621</v>
      </c>
      <c r="AA12" s="156"/>
      <c r="AB12" s="148" t="n">
        <v>201500</v>
      </c>
      <c r="AC12" s="153" t="n">
        <v>0.3151</v>
      </c>
      <c r="AD12" s="150"/>
      <c r="AE12" s="148" t="n">
        <f aca="false">5000*B12</f>
        <v>155000</v>
      </c>
      <c r="AF12" s="153" t="n">
        <v>1.815</v>
      </c>
      <c r="AG12" s="157"/>
      <c r="AH12" s="157"/>
      <c r="AI12" s="12"/>
      <c r="AJ12" s="12"/>
      <c r="AK12" s="130" t="n">
        <f aca="false">468000+260000+100000</f>
        <v>828000</v>
      </c>
      <c r="AM12" s="130" t="n">
        <v>-19530</v>
      </c>
    </row>
    <row r="13" customFormat="false" ht="12.75" hidden="false" customHeight="false" outlineLevel="0" collapsed="false">
      <c r="A13" s="146" t="n">
        <v>36557</v>
      </c>
      <c r="B13" s="147" t="n">
        <v>29</v>
      </c>
      <c r="C13" s="148" t="n">
        <f aca="false">15500*B13</f>
        <v>449500</v>
      </c>
      <c r="D13" s="148" t="n">
        <f aca="false">15/(15+22+24)*(Y13-4000*B13)</f>
        <v>66698.3606557377</v>
      </c>
      <c r="E13" s="148" t="n">
        <f aca="false">D13/B13</f>
        <v>2299.94347088751</v>
      </c>
      <c r="F13" s="148" t="n">
        <f aca="false">22/(15+22+24)*(Y13-4000*B13)</f>
        <v>97824.262295082</v>
      </c>
      <c r="G13" s="148" t="n">
        <f aca="false">F13/B13</f>
        <v>3373.25042396834</v>
      </c>
      <c r="H13" s="148" t="n">
        <f aca="false">24/(15+22+24)*(Y13-4000*B13)</f>
        <v>106717.37704918</v>
      </c>
      <c r="I13" s="148" t="n">
        <f aca="false">H13/B13</f>
        <v>3679.90955342001</v>
      </c>
      <c r="J13" s="148" t="n">
        <f aca="false">5000*B13</f>
        <v>145000</v>
      </c>
      <c r="K13" s="148"/>
      <c r="L13" s="148" t="n">
        <f aca="false">S13-J13-C13+AB13+4000*B13</f>
        <v>4524864.6</v>
      </c>
      <c r="M13" s="148" t="n">
        <f aca="false">L13/B13</f>
        <v>156029.813793103</v>
      </c>
      <c r="N13" s="149"/>
      <c r="O13" s="149"/>
      <c r="P13" s="44" t="n">
        <f aca="false">S13+Y13+AB13+V13</f>
        <v>5449328.6</v>
      </c>
      <c r="Q13" s="148" t="n">
        <f aca="false">P13/B13</f>
        <v>187907.882758621</v>
      </c>
      <c r="R13" s="12"/>
      <c r="S13" s="148" t="n">
        <f aca="false">5539864.6-25000*B13</f>
        <v>4814864.6</v>
      </c>
      <c r="T13" s="150" t="n">
        <v>0.6813</v>
      </c>
      <c r="U13" s="148"/>
      <c r="V13" s="148" t="n">
        <v>58724</v>
      </c>
      <c r="W13" s="150" t="n">
        <v>0.679</v>
      </c>
      <c r="X13" s="148"/>
      <c r="Y13" s="151" t="n">
        <v>387240</v>
      </c>
      <c r="Z13" s="152" t="n">
        <v>0.3623</v>
      </c>
      <c r="AA13" s="156"/>
      <c r="AB13" s="148" t="n">
        <v>188500</v>
      </c>
      <c r="AC13" s="153" t="n">
        <v>0.3153</v>
      </c>
      <c r="AD13" s="150"/>
      <c r="AE13" s="148" t="n">
        <f aca="false">5000*B13</f>
        <v>145000</v>
      </c>
      <c r="AF13" s="153" t="n">
        <v>1.815</v>
      </c>
      <c r="AG13" s="157"/>
      <c r="AH13" s="157"/>
      <c r="AI13" s="12"/>
      <c r="AJ13" s="12"/>
      <c r="AK13" s="130" t="n">
        <f aca="false">468000+260000+100000</f>
        <v>828000</v>
      </c>
      <c r="AM13" s="130" t="n">
        <v>-18270</v>
      </c>
    </row>
    <row r="14" customFormat="false" ht="12.75" hidden="false" customHeight="false" outlineLevel="0" collapsed="false">
      <c r="A14" s="146" t="n">
        <v>36586</v>
      </c>
      <c r="B14" s="147" t="n">
        <v>31</v>
      </c>
      <c r="C14" s="148" t="n">
        <f aca="false">10500*B14</f>
        <v>325500</v>
      </c>
      <c r="D14" s="148" t="n">
        <f aca="false">15/(15+22+24)*(Y14-4000*B14)</f>
        <v>57550.8196721312</v>
      </c>
      <c r="E14" s="148" t="n">
        <f aca="false">D14/B14</f>
        <v>1856.47805393971</v>
      </c>
      <c r="F14" s="148" t="n">
        <f aca="false">22/(15+22+24)*(Y14-4000*B14)</f>
        <v>84407.868852459</v>
      </c>
      <c r="G14" s="148" t="n">
        <f aca="false">F14/B14</f>
        <v>2722.83447911158</v>
      </c>
      <c r="H14" s="148" t="n">
        <f aca="false">24/(15+22+24)*(Y14-4000*B14)</f>
        <v>92081.3114754098</v>
      </c>
      <c r="I14" s="148" t="n">
        <f aca="false">H14/B14</f>
        <v>2970.36488630354</v>
      </c>
      <c r="J14" s="148" t="n">
        <f aca="false">5000*B14</f>
        <v>155000</v>
      </c>
      <c r="K14" s="148"/>
      <c r="L14" s="148" t="n">
        <f aca="false">S14-J14-C14+AB14+4000*B14</f>
        <v>3535660.2</v>
      </c>
      <c r="M14" s="148" t="n">
        <f aca="false">L14/B14</f>
        <v>114053.55483871</v>
      </c>
      <c r="N14" s="149"/>
      <c r="O14" s="149"/>
      <c r="P14" s="44" t="n">
        <f aca="false">S14+Y14+AB14+V14</f>
        <v>4299048.2</v>
      </c>
      <c r="Q14" s="148" t="n">
        <f aca="false">P14/B14</f>
        <v>138678.974193548</v>
      </c>
      <c r="R14" s="12"/>
      <c r="S14" s="148" t="n">
        <f aca="false">4465660.2-25000*B14</f>
        <v>3690660.2</v>
      </c>
      <c r="T14" s="150" t="n">
        <v>0.6809</v>
      </c>
      <c r="U14" s="148"/>
      <c r="V14" s="148" t="n">
        <v>48848</v>
      </c>
      <c r="W14" s="150" t="n">
        <v>0.679</v>
      </c>
      <c r="X14" s="148"/>
      <c r="Y14" s="151" t="n">
        <v>358040</v>
      </c>
      <c r="Z14" s="152" t="n">
        <v>0.3619</v>
      </c>
      <c r="AA14" s="156"/>
      <c r="AB14" s="148" t="n">
        <v>201500</v>
      </c>
      <c r="AC14" s="153" t="n">
        <v>0.3149</v>
      </c>
      <c r="AD14" s="150"/>
      <c r="AE14" s="148"/>
      <c r="AF14" s="148"/>
      <c r="AG14" s="154"/>
      <c r="AH14" s="148"/>
      <c r="AI14" s="12"/>
      <c r="AJ14" s="12"/>
      <c r="AK14" s="130" t="n">
        <f aca="false">468000+260000+100000</f>
        <v>828000</v>
      </c>
    </row>
    <row r="15" customFormat="false" ht="12.75" hidden="false" customHeight="false" outlineLevel="0" collapsed="false">
      <c r="A15" s="146" t="n">
        <v>36617</v>
      </c>
      <c r="B15" s="147" t="n">
        <v>30</v>
      </c>
      <c r="C15" s="148" t="n">
        <f aca="false">10500*B15</f>
        <v>315000</v>
      </c>
      <c r="D15" s="148" t="n">
        <f aca="false">15/(15+22+24)*(Y15-4000*B15)</f>
        <v>32930.4098360656</v>
      </c>
      <c r="E15" s="148" t="n">
        <f aca="false">D15/B15</f>
        <v>1097.68032786885</v>
      </c>
      <c r="F15" s="148" t="n">
        <f aca="false">22/(15+22+24)*(Y15-4000*B15)</f>
        <v>48297.9344262295</v>
      </c>
      <c r="G15" s="148" t="n">
        <f aca="false">F15/B15</f>
        <v>1609.93114754098</v>
      </c>
      <c r="H15" s="148" t="n">
        <f aca="false">24/(15+22+24)*(Y15-4000*B15)</f>
        <v>52688.6557377049</v>
      </c>
      <c r="I15" s="148" t="n">
        <f aca="false">H15/B15</f>
        <v>1756.28852459016</v>
      </c>
      <c r="J15" s="148" t="n">
        <f aca="false">5000*B15</f>
        <v>150000</v>
      </c>
      <c r="K15" s="148"/>
      <c r="L15" s="148" t="n">
        <f aca="false">S15-J15-C15+AB15+4000*B15</f>
        <v>2030103.7</v>
      </c>
      <c r="M15" s="148" t="n">
        <f aca="false">L15/B15</f>
        <v>67670.1233333333</v>
      </c>
      <c r="N15" s="149"/>
      <c r="O15" s="149"/>
      <c r="P15" s="44" t="n">
        <f aca="false">S15+Y15+AB15+V15</f>
        <v>2655252.7</v>
      </c>
      <c r="Q15" s="148" t="n">
        <f aca="false">P15/B15</f>
        <v>88508.4233333333</v>
      </c>
      <c r="R15" s="12"/>
      <c r="S15" s="148" t="n">
        <v>2180103.7</v>
      </c>
      <c r="T15" s="150" t="n">
        <v>0.709</v>
      </c>
      <c r="U15" s="148"/>
      <c r="V15" s="148" t="n">
        <v>26232</v>
      </c>
      <c r="W15" s="150" t="n">
        <v>0.679</v>
      </c>
      <c r="X15" s="148"/>
      <c r="Y15" s="151" t="n">
        <v>253917</v>
      </c>
      <c r="Z15" s="152" t="n">
        <v>0.39</v>
      </c>
      <c r="AA15" s="156"/>
      <c r="AB15" s="148" t="n">
        <v>195000</v>
      </c>
      <c r="AC15" s="153" t="n">
        <v>0.343</v>
      </c>
      <c r="AD15" s="150"/>
      <c r="AE15" s="148"/>
      <c r="AF15" s="148"/>
      <c r="AG15" s="154"/>
      <c r="AH15" s="148"/>
      <c r="AI15" s="12"/>
      <c r="AJ15" s="12"/>
      <c r="AK15" s="130" t="n">
        <f aca="false">61000*B15*0.017</f>
        <v>31110</v>
      </c>
    </row>
    <row r="16" customFormat="false" ht="12.75" hidden="false" customHeight="false" outlineLevel="0" collapsed="false">
      <c r="A16" s="146" t="n">
        <v>36647</v>
      </c>
      <c r="B16" s="147" t="n">
        <v>31</v>
      </c>
      <c r="C16" s="148" t="n">
        <f aca="false">10500*B16</f>
        <v>325500</v>
      </c>
      <c r="D16" s="148" t="n">
        <f aca="false">15/(15+22+24)*(Y16-4000*B16)</f>
        <v>22367.4590163934</v>
      </c>
      <c r="E16" s="148" t="n">
        <f aca="false">D16/B16</f>
        <v>721.530936012692</v>
      </c>
      <c r="F16" s="148" t="n">
        <f aca="false">22/(15+22+24)*(Y16-4000*B16)</f>
        <v>32805.6065573771</v>
      </c>
      <c r="G16" s="148" t="n">
        <f aca="false">F16/B16</f>
        <v>1058.24537281861</v>
      </c>
      <c r="H16" s="148" t="n">
        <f aca="false">24/(15+22+24)*(Y16-4000*B16)</f>
        <v>35787.9344262295</v>
      </c>
      <c r="I16" s="148" t="n">
        <f aca="false">H16/B16</f>
        <v>1154.44949762031</v>
      </c>
      <c r="J16" s="148" t="n">
        <f aca="false">5000*B16</f>
        <v>155000</v>
      </c>
      <c r="K16" s="148"/>
      <c r="L16" s="148" t="n">
        <f aca="false">S16-J16-C16+AB16+4000*B16</f>
        <v>1418301.3</v>
      </c>
      <c r="M16" s="148" t="n">
        <f aca="false">L16/B16</f>
        <v>45751.6548387097</v>
      </c>
      <c r="N16" s="149"/>
      <c r="O16" s="149"/>
      <c r="P16" s="44" t="n">
        <f aca="false">S16+Y16+AB16+V16</f>
        <v>2010527.3</v>
      </c>
      <c r="Q16" s="148" t="n">
        <f aca="false">P16/B16</f>
        <v>64855.7193548387</v>
      </c>
      <c r="R16" s="12"/>
      <c r="S16" s="148" t="n">
        <v>1573301.3</v>
      </c>
      <c r="T16" s="150" t="n">
        <v>0.709</v>
      </c>
      <c r="U16" s="148"/>
      <c r="V16" s="148" t="n">
        <v>20765</v>
      </c>
      <c r="W16" s="150" t="n">
        <v>0.679</v>
      </c>
      <c r="X16" s="148"/>
      <c r="Y16" s="151" t="n">
        <v>214961</v>
      </c>
      <c r="Z16" s="152" t="n">
        <v>0.39</v>
      </c>
      <c r="AA16" s="156"/>
      <c r="AB16" s="148" t="n">
        <v>201500</v>
      </c>
      <c r="AC16" s="153" t="n">
        <v>0.343</v>
      </c>
      <c r="AD16" s="150"/>
      <c r="AE16" s="148"/>
      <c r="AF16" s="148"/>
      <c r="AG16" s="154"/>
      <c r="AH16" s="148"/>
      <c r="AI16" s="12"/>
      <c r="AJ16" s="12"/>
      <c r="AK16" s="130" t="n">
        <f aca="false">61000*B16*0.017</f>
        <v>32147</v>
      </c>
    </row>
    <row r="17" customFormat="false" ht="12.75" hidden="false" customHeight="false" outlineLevel="0" collapsed="false">
      <c r="A17" s="146" t="n">
        <v>36678</v>
      </c>
      <c r="B17" s="147" t="n">
        <v>30</v>
      </c>
      <c r="C17" s="148" t="n">
        <f aca="false">10500*B17</f>
        <v>315000</v>
      </c>
      <c r="D17" s="148" t="n">
        <f aca="false">15/(15+22+24)*(Y17-4000*B17)</f>
        <v>16125</v>
      </c>
      <c r="E17" s="148" t="n">
        <f aca="false">D17/B17</f>
        <v>537.5</v>
      </c>
      <c r="F17" s="148" t="n">
        <f aca="false">22/(15+22+24)*(Y17-4000*B17)</f>
        <v>23650</v>
      </c>
      <c r="G17" s="148" t="n">
        <f aca="false">F17/B17</f>
        <v>788.333333333333</v>
      </c>
      <c r="H17" s="148" t="n">
        <f aca="false">24/(15+22+24)*(Y17-4000*B17)</f>
        <v>25800</v>
      </c>
      <c r="I17" s="148" t="n">
        <f aca="false">H17/B17</f>
        <v>860</v>
      </c>
      <c r="J17" s="148" t="n">
        <f aca="false">5000*B17</f>
        <v>150000</v>
      </c>
      <c r="K17" s="148"/>
      <c r="L17" s="148" t="n">
        <f aca="false">S17-J17-C17+AB17+4000*B17</f>
        <v>913182.1</v>
      </c>
      <c r="M17" s="148" t="n">
        <f aca="false">L17/B17</f>
        <v>30439.4033333333</v>
      </c>
      <c r="N17" s="149"/>
      <c r="O17" s="149"/>
      <c r="P17" s="44" t="n">
        <f aca="false">S17+Y17+AB17+V17</f>
        <v>1459452.1</v>
      </c>
      <c r="Q17" s="148" t="n">
        <f aca="false">P17/B17</f>
        <v>48648.4033333333</v>
      </c>
      <c r="R17" s="12"/>
      <c r="S17" s="148" t="n">
        <v>1063182.1</v>
      </c>
      <c r="T17" s="150" t="n">
        <v>0.709</v>
      </c>
      <c r="U17" s="148"/>
      <c r="V17" s="148" t="n">
        <v>15695</v>
      </c>
      <c r="W17" s="150" t="n">
        <v>0.679</v>
      </c>
      <c r="X17" s="148"/>
      <c r="Y17" s="151" t="n">
        <v>185575</v>
      </c>
      <c r="Z17" s="152" t="n">
        <v>0.39</v>
      </c>
      <c r="AA17" s="156"/>
      <c r="AB17" s="148" t="n">
        <v>195000</v>
      </c>
      <c r="AC17" s="153" t="n">
        <v>0.343</v>
      </c>
      <c r="AD17" s="150"/>
      <c r="AE17" s="148"/>
      <c r="AF17" s="148"/>
      <c r="AG17" s="154"/>
      <c r="AH17" s="148"/>
      <c r="AI17" s="12"/>
      <c r="AJ17" s="12"/>
      <c r="AK17" s="130" t="n">
        <f aca="false">61000*B17*0.017</f>
        <v>31110</v>
      </c>
    </row>
    <row r="18" customFormat="false" ht="12.75" hidden="false" customHeight="false" outlineLevel="0" collapsed="false">
      <c r="A18" s="146" t="n">
        <v>36708</v>
      </c>
      <c r="B18" s="147" t="n">
        <v>31</v>
      </c>
      <c r="C18" s="148" t="n">
        <f aca="false">10500*B18</f>
        <v>325500</v>
      </c>
      <c r="D18" s="148" t="n">
        <f aca="false">15/(15+22+24)*(Y18-4000*B18)</f>
        <v>17622.0491803279</v>
      </c>
      <c r="E18" s="148" t="n">
        <f aca="false">D18/B18</f>
        <v>568.453199365415</v>
      </c>
      <c r="F18" s="148" t="n">
        <f aca="false">22/(15+22+24)*(Y18-4000*B18)</f>
        <v>25845.6721311475</v>
      </c>
      <c r="G18" s="148" t="n">
        <f aca="false">F18/B18</f>
        <v>833.731359069276</v>
      </c>
      <c r="H18" s="148" t="n">
        <f aca="false">24/(15+22+24)*(Y18-4000*B18)</f>
        <v>28195.2786885246</v>
      </c>
      <c r="I18" s="148" t="n">
        <f aca="false">H18/B18</f>
        <v>909.525118984664</v>
      </c>
      <c r="J18" s="148" t="n">
        <f aca="false">5000*B18</f>
        <v>155000</v>
      </c>
      <c r="K18" s="148"/>
      <c r="L18" s="148" t="n">
        <f aca="false">S18-J18-C18+AB18+4000*B18</f>
        <v>961652</v>
      </c>
      <c r="M18" s="148" t="n">
        <f aca="false">L18/B18</f>
        <v>31021.0322580645</v>
      </c>
      <c r="N18" s="149"/>
      <c r="O18" s="149"/>
      <c r="P18" s="44" t="n">
        <f aca="false">S18+Y18+AB18+V18</f>
        <v>1530039</v>
      </c>
      <c r="Q18" s="148" t="n">
        <f aca="false">P18/B18</f>
        <v>49356.0967741935</v>
      </c>
      <c r="R18" s="12"/>
      <c r="S18" s="148" t="n">
        <v>1116652</v>
      </c>
      <c r="T18" s="150" t="n">
        <v>0.709</v>
      </c>
      <c r="U18" s="148"/>
      <c r="V18" s="148" t="n">
        <v>16224</v>
      </c>
      <c r="W18" s="150" t="n">
        <v>0.679</v>
      </c>
      <c r="X18" s="148"/>
      <c r="Y18" s="151" t="n">
        <v>195663</v>
      </c>
      <c r="Z18" s="152" t="n">
        <v>0.39</v>
      </c>
      <c r="AA18" s="156"/>
      <c r="AB18" s="148" t="n">
        <v>201500</v>
      </c>
      <c r="AC18" s="153" t="n">
        <v>0.343</v>
      </c>
      <c r="AD18" s="150"/>
      <c r="AE18" s="148"/>
      <c r="AF18" s="148"/>
      <c r="AG18" s="154"/>
      <c r="AH18" s="148"/>
      <c r="AI18" s="12"/>
      <c r="AJ18" s="12"/>
      <c r="AK18" s="130" t="n">
        <f aca="false">61000*B18*0.017</f>
        <v>32147</v>
      </c>
    </row>
    <row r="19" customFormat="false" ht="12.75" hidden="false" customHeight="false" outlineLevel="0" collapsed="false">
      <c r="A19" s="146" t="n">
        <v>36739</v>
      </c>
      <c r="B19" s="147" t="n">
        <v>31</v>
      </c>
      <c r="C19" s="148" t="n">
        <f aca="false">10500*B19</f>
        <v>325500</v>
      </c>
      <c r="D19" s="148" t="n">
        <f aca="false">15/(15+22+24)*(Y19-4000*B19)</f>
        <v>16875.2459016393</v>
      </c>
      <c r="E19" s="148" t="n">
        <f aca="false">D19/B19</f>
        <v>544.362771020624</v>
      </c>
      <c r="F19" s="148" t="n">
        <f aca="false">22/(15+22+24)*(Y19-4000*B19)</f>
        <v>24750.3606557377</v>
      </c>
      <c r="G19" s="148" t="n">
        <f aca="false">F19/B19</f>
        <v>798.398730830249</v>
      </c>
      <c r="H19" s="148" t="n">
        <f aca="false">24/(15+22+24)*(Y19-4000*B19)</f>
        <v>27000.393442623</v>
      </c>
      <c r="I19" s="148" t="n">
        <f aca="false">H19/B19</f>
        <v>870.980433632998</v>
      </c>
      <c r="J19" s="148" t="n">
        <f aca="false">5000*B19</f>
        <v>155000</v>
      </c>
      <c r="K19" s="148"/>
      <c r="L19" s="148" t="n">
        <f aca="false">S19-J19-C19+AB19+4000*B19</f>
        <v>1375063</v>
      </c>
      <c r="M19" s="148" t="n">
        <f aca="false">L19/B19</f>
        <v>44356.8709677419</v>
      </c>
      <c r="N19" s="149"/>
      <c r="O19" s="149"/>
      <c r="P19" s="44" t="n">
        <f aca="false">S19+Y19+AB19+V19</f>
        <v>1944513</v>
      </c>
      <c r="Q19" s="148" t="n">
        <f aca="false">P19/B19</f>
        <v>62726.2258064516</v>
      </c>
      <c r="R19" s="12"/>
      <c r="S19" s="148" t="n">
        <v>1530063</v>
      </c>
      <c r="T19" s="150" t="n">
        <v>0.709</v>
      </c>
      <c r="U19" s="148"/>
      <c r="V19" s="148" t="n">
        <v>20324</v>
      </c>
      <c r="W19" s="150" t="n">
        <v>0.679</v>
      </c>
      <c r="X19" s="148"/>
      <c r="Y19" s="151" t="n">
        <v>192626</v>
      </c>
      <c r="Z19" s="152" t="n">
        <v>0.39</v>
      </c>
      <c r="AA19" s="156"/>
      <c r="AB19" s="148" t="n">
        <v>201500</v>
      </c>
      <c r="AC19" s="153" t="n">
        <v>0.343</v>
      </c>
      <c r="AD19" s="150"/>
      <c r="AE19" s="148"/>
      <c r="AF19" s="148"/>
      <c r="AG19" s="154"/>
      <c r="AH19" s="148"/>
      <c r="AI19" s="12"/>
      <c r="AJ19" s="12"/>
      <c r="AK19" s="130" t="n">
        <f aca="false">61000*B19*0.017</f>
        <v>32147</v>
      </c>
    </row>
    <row r="20" customFormat="false" ht="12.75" hidden="false" customHeight="false" outlineLevel="0" collapsed="false">
      <c r="A20" s="146" t="n">
        <v>36770</v>
      </c>
      <c r="B20" s="147" t="n">
        <v>30</v>
      </c>
      <c r="C20" s="148" t="n">
        <f aca="false">10500*B20</f>
        <v>315000</v>
      </c>
      <c r="D20" s="148" t="n">
        <f aca="false">15/(15+22+24)*(Y20-4000*B20)</f>
        <v>14869.6721311475</v>
      </c>
      <c r="E20" s="148" t="n">
        <f aca="false">D20/B20</f>
        <v>495.655737704918</v>
      </c>
      <c r="F20" s="148" t="n">
        <f aca="false">22/(15+22+24)*(Y20-4000*B20)</f>
        <v>21808.8524590164</v>
      </c>
      <c r="G20" s="148" t="n">
        <f aca="false">F20/B20</f>
        <v>726.96174863388</v>
      </c>
      <c r="H20" s="148" t="n">
        <f aca="false">24/(15+22+24)*(Y20-4000*B20)</f>
        <v>23791.4754098361</v>
      </c>
      <c r="I20" s="148" t="n">
        <f aca="false">H20/B20</f>
        <v>793.049180327869</v>
      </c>
      <c r="J20" s="148" t="n">
        <f aca="false">5000*B20</f>
        <v>150000</v>
      </c>
      <c r="K20" s="148"/>
      <c r="L20" s="148" t="n">
        <f aca="false">S20-J20-C20+AB20+4000*B20</f>
        <v>1120433.3</v>
      </c>
      <c r="M20" s="148" t="n">
        <f aca="false">L20/B20</f>
        <v>37347.7766666667</v>
      </c>
      <c r="N20" s="149"/>
      <c r="O20" s="149"/>
      <c r="P20" s="44" t="n">
        <f aca="false">S20+Y20+AB20+V20</f>
        <v>1663538.3</v>
      </c>
      <c r="Q20" s="148" t="n">
        <f aca="false">P20/B20</f>
        <v>55451.2766666667</v>
      </c>
      <c r="R20" s="12"/>
      <c r="S20" s="148" t="n">
        <v>1270433.3</v>
      </c>
      <c r="T20" s="150" t="n">
        <v>0.709</v>
      </c>
      <c r="U20" s="148"/>
      <c r="V20" s="148" t="n">
        <v>17635</v>
      </c>
      <c r="W20" s="150" t="n">
        <v>0.679</v>
      </c>
      <c r="X20" s="148"/>
      <c r="Y20" s="151" t="n">
        <v>180470</v>
      </c>
      <c r="Z20" s="152" t="n">
        <v>0.39</v>
      </c>
      <c r="AA20" s="156"/>
      <c r="AB20" s="148" t="n">
        <v>195000</v>
      </c>
      <c r="AC20" s="153" t="n">
        <v>0.343</v>
      </c>
      <c r="AD20" s="150"/>
      <c r="AE20" s="148"/>
      <c r="AF20" s="148"/>
      <c r="AG20" s="154"/>
      <c r="AH20" s="148"/>
      <c r="AI20" s="12"/>
      <c r="AJ20" s="12"/>
      <c r="AK20" s="130" t="n">
        <f aca="false">61000*B20*0.017</f>
        <v>31110</v>
      </c>
    </row>
    <row r="21" customFormat="false" ht="12.75" hidden="false" customHeight="false" outlineLevel="0" collapsed="false">
      <c r="A21" s="146" t="n">
        <v>36800</v>
      </c>
      <c r="B21" s="147" t="n">
        <v>31</v>
      </c>
      <c r="C21" s="148" t="n">
        <f aca="false">10500*B21</f>
        <v>325500</v>
      </c>
      <c r="D21" s="148" t="n">
        <f aca="false">15/(15+22+24)*(Y21-4000*B21)</f>
        <v>29827.6229508197</v>
      </c>
      <c r="E21" s="148" t="n">
        <f aca="false">D21/B21</f>
        <v>962.181385510312</v>
      </c>
      <c r="F21" s="148" t="n">
        <f aca="false">22/(15+22+24)*(Y21-4000*B21)</f>
        <v>43747.1803278689</v>
      </c>
      <c r="G21" s="148" t="n">
        <f aca="false">F21/B21</f>
        <v>1411.19936541512</v>
      </c>
      <c r="H21" s="148" t="n">
        <f aca="false">24/(15+22+24)*(Y21-4000*B21)</f>
        <v>47724.1967213115</v>
      </c>
      <c r="I21" s="148" t="n">
        <f aca="false">H21/B21</f>
        <v>1539.4902168165</v>
      </c>
      <c r="J21" s="148" t="n">
        <f aca="false">5000*B21</f>
        <v>155000</v>
      </c>
      <c r="K21" s="148"/>
      <c r="L21" s="148" t="n">
        <f aca="false">S21-J21-C21+AB21+4000*B21</f>
        <v>1607437.1</v>
      </c>
      <c r="M21" s="148" t="n">
        <f aca="false">L21/B21</f>
        <v>51852.8096774194</v>
      </c>
      <c r="N21" s="149"/>
      <c r="O21" s="149"/>
      <c r="P21" s="44" t="n">
        <f aca="false">S21+Y21+AB21+V21</f>
        <v>2231632.1</v>
      </c>
      <c r="Q21" s="148" t="n">
        <f aca="false">P21/B21</f>
        <v>71988.1322580645</v>
      </c>
      <c r="R21" s="12"/>
      <c r="S21" s="148" t="n">
        <v>1762437.1</v>
      </c>
      <c r="T21" s="150" t="n">
        <v>0.709</v>
      </c>
      <c r="U21" s="148"/>
      <c r="V21" s="148" t="n">
        <v>22396</v>
      </c>
      <c r="W21" s="150" t="n">
        <v>0.679</v>
      </c>
      <c r="X21" s="148"/>
      <c r="Y21" s="151" t="n">
        <v>245299</v>
      </c>
      <c r="Z21" s="152" t="n">
        <v>0.39</v>
      </c>
      <c r="AA21" s="156"/>
      <c r="AB21" s="148" t="n">
        <v>201500</v>
      </c>
      <c r="AC21" s="153" t="n">
        <v>0.343</v>
      </c>
      <c r="AD21" s="150"/>
      <c r="AE21" s="148"/>
      <c r="AF21" s="148"/>
      <c r="AG21" s="154"/>
      <c r="AH21" s="12"/>
      <c r="AI21" s="12"/>
      <c r="AJ21" s="12"/>
      <c r="AK21" s="130" t="n">
        <f aca="false">61000*B21*0.017</f>
        <v>32147</v>
      </c>
    </row>
    <row r="22" customFormat="false" ht="12.75" hidden="false" customHeight="false" outlineLevel="0" collapsed="false">
      <c r="A22" s="146" t="n">
        <v>36831</v>
      </c>
      <c r="B22" s="147" t="n">
        <v>30</v>
      </c>
      <c r="C22" s="148" t="n">
        <f aca="false">10500*B22</f>
        <v>315000</v>
      </c>
      <c r="D22" s="148" t="n">
        <f aca="false">15/(15+22+24)*(Y22-4000*B22)</f>
        <v>55645.8196721312</v>
      </c>
      <c r="E22" s="148" t="n">
        <f aca="false">D22/B22</f>
        <v>1854.86065573771</v>
      </c>
      <c r="F22" s="148" t="n">
        <f aca="false">22/(15+22+24)*(Y22-4000*B22)</f>
        <v>81613.868852459</v>
      </c>
      <c r="G22" s="148" t="n">
        <f aca="false">F22/B22</f>
        <v>2720.46229508197</v>
      </c>
      <c r="H22" s="148" t="n">
        <f aca="false">24/(15+22+24)*(Y22-4000*B22)</f>
        <v>89033.3114754098</v>
      </c>
      <c r="I22" s="148" t="n">
        <f aca="false">H22/B22</f>
        <v>2967.77704918033</v>
      </c>
      <c r="J22" s="148" t="n">
        <f aca="false">5000*B22</f>
        <v>150000</v>
      </c>
      <c r="K22" s="148"/>
      <c r="L22" s="148" t="n">
        <f aca="false">S22-J22-C22+AB22+4000*B22</f>
        <v>3545687.9</v>
      </c>
      <c r="M22" s="148" t="n">
        <f aca="false">L22/B22</f>
        <v>118189.596666667</v>
      </c>
      <c r="N22" s="149"/>
      <c r="O22" s="149"/>
      <c r="P22" s="44" t="n">
        <f aca="false">S22+Y22+AB22+V22</f>
        <v>4277893.9</v>
      </c>
      <c r="Q22" s="148" t="n">
        <f aca="false">P22/B22</f>
        <v>142596.463333333</v>
      </c>
      <c r="R22" s="12"/>
      <c r="S22" s="148" t="n">
        <v>3695687.9</v>
      </c>
      <c r="T22" s="150" t="n">
        <v>0.669</v>
      </c>
      <c r="U22" s="148"/>
      <c r="V22" s="148" t="n">
        <v>40913</v>
      </c>
      <c r="W22" s="150" t="n">
        <v>0.679</v>
      </c>
      <c r="X22" s="148"/>
      <c r="Y22" s="151" t="n">
        <v>346293</v>
      </c>
      <c r="Z22" s="152" t="n">
        <v>0.35</v>
      </c>
      <c r="AA22" s="156"/>
      <c r="AB22" s="148" t="n">
        <v>195000</v>
      </c>
      <c r="AC22" s="153" t="n">
        <v>0.303</v>
      </c>
      <c r="AD22" s="150"/>
      <c r="AE22" s="148"/>
      <c r="AF22" s="148"/>
      <c r="AG22" s="154"/>
      <c r="AH22" s="12"/>
      <c r="AI22" s="12"/>
      <c r="AJ22" s="12"/>
      <c r="AK22" s="130" t="n">
        <f aca="false">468000+260000+100000</f>
        <v>828000</v>
      </c>
    </row>
    <row r="23" customFormat="false" ht="12.75" hidden="false" customHeight="false" outlineLevel="0" collapsed="false">
      <c r="A23" s="146" t="n">
        <v>36861</v>
      </c>
      <c r="B23" s="147" t="n">
        <v>31</v>
      </c>
      <c r="C23" s="148" t="n">
        <f aca="false">10500*B23</f>
        <v>325500</v>
      </c>
      <c r="D23" s="148" t="n">
        <f aca="false">15/(15+22+24)*(Y23-4000*B23)</f>
        <v>77323.0327868853</v>
      </c>
      <c r="E23" s="148" t="n">
        <f aca="false">D23/B23</f>
        <v>2494.2913802221</v>
      </c>
      <c r="F23" s="148" t="n">
        <f aca="false">22/(15+22+24)*(Y23-4000*B23)</f>
        <v>113407.114754098</v>
      </c>
      <c r="G23" s="148" t="n">
        <f aca="false">F23/B23</f>
        <v>3658.29402432575</v>
      </c>
      <c r="H23" s="148" t="n">
        <f aca="false">24/(15+22+24)*(Y23-4000*B23)</f>
        <v>123716.852459016</v>
      </c>
      <c r="I23" s="148" t="n">
        <f aca="false">H23/B23</f>
        <v>3990.86620835537</v>
      </c>
      <c r="J23" s="148" t="n">
        <f aca="false">5000*B23</f>
        <v>155000</v>
      </c>
      <c r="K23" s="148"/>
      <c r="L23" s="148" t="n">
        <f aca="false">S23-J23-C23+AB23+4000*B23</f>
        <v>6430710.3</v>
      </c>
      <c r="M23" s="148" t="n">
        <f aca="false">L23/B23</f>
        <v>207442.267741935</v>
      </c>
      <c r="N23" s="149"/>
      <c r="O23" s="149"/>
      <c r="P23" s="44" t="n">
        <f aca="false">S23+Y23+AB23+V23</f>
        <v>7295226.3</v>
      </c>
      <c r="Q23" s="148" t="n">
        <f aca="false">P23/B23</f>
        <v>235329.880645161</v>
      </c>
      <c r="R23" s="12"/>
      <c r="S23" s="148" t="n">
        <v>6585710.3</v>
      </c>
      <c r="T23" s="150" t="n">
        <v>0.6734</v>
      </c>
      <c r="U23" s="148"/>
      <c r="V23" s="148" t="n">
        <v>69569</v>
      </c>
      <c r="W23" s="150" t="n">
        <v>0.679</v>
      </c>
      <c r="X23" s="148"/>
      <c r="Y23" s="151" t="n">
        <v>438447</v>
      </c>
      <c r="Z23" s="152" t="n">
        <v>0.3544</v>
      </c>
      <c r="AA23" s="156"/>
      <c r="AB23" s="148" t="n">
        <v>201500</v>
      </c>
      <c r="AC23" s="153" t="n">
        <v>0.3074</v>
      </c>
      <c r="AD23" s="150"/>
      <c r="AE23" s="148"/>
      <c r="AF23" s="148"/>
      <c r="AG23" s="154"/>
      <c r="AH23" s="12"/>
      <c r="AI23" s="12"/>
      <c r="AJ23" s="12"/>
      <c r="AK23" s="130" t="n">
        <f aca="false">468000+260000+100000</f>
        <v>828000</v>
      </c>
    </row>
    <row r="24" customFormat="false" ht="12.75" hidden="false" customHeight="false" outlineLevel="0" collapsed="false">
      <c r="A24" s="146" t="n">
        <v>36892</v>
      </c>
      <c r="B24" s="147" t="n">
        <v>31</v>
      </c>
      <c r="C24" s="148" t="n">
        <f aca="false">10500*B24</f>
        <v>325500</v>
      </c>
      <c r="D24" s="148" t="n">
        <f aca="false">15/(15+22+24)*(Y24-4000*B24)</f>
        <v>101974.180327869</v>
      </c>
      <c r="E24" s="148" t="n">
        <f aca="false">D24/B24</f>
        <v>3289.48968799577</v>
      </c>
      <c r="F24" s="148" t="n">
        <f aca="false">22/(15+22+24)*(Y24-4000*B24)</f>
        <v>149562.131147541</v>
      </c>
      <c r="G24" s="148" t="n">
        <f aca="false">F24/B24</f>
        <v>4824.58487572713</v>
      </c>
      <c r="H24" s="148" t="n">
        <f aca="false">24/(15+22+24)*(Y24-4000*B24)</f>
        <v>163158.68852459</v>
      </c>
      <c r="I24" s="148" t="n">
        <f aca="false">H24/B24</f>
        <v>5263.18350079323</v>
      </c>
      <c r="J24" s="148" t="n">
        <f aca="false">5000*B24</f>
        <v>155000</v>
      </c>
      <c r="K24" s="148"/>
      <c r="L24" s="148" t="n">
        <f aca="false">S24-J24-C24+AB24+4000*B24</f>
        <v>7999339.5</v>
      </c>
      <c r="M24" s="148" t="n">
        <f aca="false">L24/B24</f>
        <v>258043.209677419</v>
      </c>
      <c r="N24" s="149"/>
      <c r="O24" s="149"/>
      <c r="P24" s="44" t="n">
        <f aca="false">S24+Y24+AB24+V24</f>
        <v>8981031.5</v>
      </c>
      <c r="Q24" s="148" t="n">
        <f aca="false">P24/B24</f>
        <v>289710.693548387</v>
      </c>
      <c r="R24" s="12"/>
      <c r="S24" s="148" t="n">
        <v>8154339.5</v>
      </c>
      <c r="T24" s="150" t="n">
        <v>0.6811</v>
      </c>
      <c r="U24" s="148"/>
      <c r="V24" s="148" t="n">
        <v>86497</v>
      </c>
      <c r="W24" s="150" t="n">
        <v>0.679</v>
      </c>
      <c r="X24" s="148"/>
      <c r="Y24" s="151" t="n">
        <v>538695</v>
      </c>
      <c r="Z24" s="152" t="n">
        <v>0.3621</v>
      </c>
      <c r="AA24" s="156"/>
      <c r="AB24" s="148" t="n">
        <v>201500</v>
      </c>
      <c r="AC24" s="153" t="n">
        <v>0.3151</v>
      </c>
      <c r="AD24" s="150"/>
      <c r="AE24" s="148"/>
      <c r="AF24" s="148"/>
      <c r="AG24" s="154"/>
      <c r="AH24" s="12"/>
      <c r="AI24" s="12"/>
      <c r="AJ24" s="12"/>
      <c r="AK24" s="130" t="n">
        <f aca="false">468000+260000+100000</f>
        <v>828000</v>
      </c>
    </row>
    <row r="25" customFormat="false" ht="12.75" hidden="false" customHeight="false" outlineLevel="0" collapsed="false">
      <c r="A25" s="146" t="n">
        <v>36923</v>
      </c>
      <c r="B25" s="147" t="n">
        <v>28</v>
      </c>
      <c r="C25" s="148" t="n">
        <f aca="false">10500*B25</f>
        <v>294000</v>
      </c>
      <c r="D25" s="148" t="n">
        <f aca="false">15/(15+22+24)*(Y25-4000*B25)</f>
        <v>67365.2459016393</v>
      </c>
      <c r="E25" s="148" t="n">
        <f aca="false">D25/B25</f>
        <v>2405.90163934426</v>
      </c>
      <c r="F25" s="148" t="n">
        <f aca="false">22/(15+22+24)*(Y25-4000*B25)</f>
        <v>98802.3606557377</v>
      </c>
      <c r="G25" s="148" t="n">
        <f aca="false">F25/B25</f>
        <v>3528.65573770492</v>
      </c>
      <c r="H25" s="148" t="n">
        <f aca="false">24/(15+22+24)*(Y25-4000*B25)</f>
        <v>107784.393442623</v>
      </c>
      <c r="I25" s="148" t="n">
        <f aca="false">H25/B25</f>
        <v>3849.44262295082</v>
      </c>
      <c r="J25" s="148" t="n">
        <f aca="false">5000*B25</f>
        <v>140000</v>
      </c>
      <c r="K25" s="148"/>
      <c r="L25" s="148" t="n">
        <f aca="false">S25-J25-C25+AB25+4000*B25</f>
        <v>5481910.9</v>
      </c>
      <c r="M25" s="148" t="n">
        <f aca="false">L25/B25</f>
        <v>195782.532142857</v>
      </c>
      <c r="N25" s="149"/>
      <c r="O25" s="149"/>
      <c r="P25" s="44" t="n">
        <f aca="false">S25+Y25+AB25+V25</f>
        <v>6250661.9</v>
      </c>
      <c r="Q25" s="148" t="n">
        <f aca="false">P25/B25</f>
        <v>223237.925</v>
      </c>
      <c r="R25" s="12"/>
      <c r="S25" s="148" t="n">
        <v>5621910.9</v>
      </c>
      <c r="T25" s="150" t="n">
        <v>0.6814</v>
      </c>
      <c r="U25" s="148"/>
      <c r="V25" s="148" t="n">
        <v>60799</v>
      </c>
      <c r="W25" s="150" t="n">
        <v>0.679</v>
      </c>
      <c r="X25" s="148"/>
      <c r="Y25" s="151" t="n">
        <v>385952</v>
      </c>
      <c r="Z25" s="152" t="n">
        <v>0.3624</v>
      </c>
      <c r="AA25" s="156"/>
      <c r="AB25" s="148" t="n">
        <v>182000</v>
      </c>
      <c r="AC25" s="153" t="n">
        <v>0.3154</v>
      </c>
      <c r="AD25" s="150"/>
      <c r="AE25" s="148"/>
      <c r="AF25" s="148"/>
      <c r="AG25" s="154"/>
      <c r="AH25" s="12"/>
      <c r="AI25" s="12"/>
      <c r="AJ25" s="12"/>
      <c r="AK25" s="130" t="n">
        <f aca="false">468000+260000+100000</f>
        <v>828000</v>
      </c>
    </row>
    <row r="26" customFormat="false" ht="12.75" hidden="false" customHeight="false" outlineLevel="0" collapsed="false">
      <c r="A26" s="146" t="n">
        <v>36951</v>
      </c>
      <c r="B26" s="147" t="n">
        <v>31</v>
      </c>
      <c r="C26" s="148" t="n">
        <f aca="false">10500*B26</f>
        <v>325500</v>
      </c>
      <c r="D26" s="148" t="n">
        <f aca="false">15/(15+22+24)*(Y26-4000*B26)</f>
        <v>58126.4754098361</v>
      </c>
      <c r="E26" s="148" t="n">
        <f aca="false">D26/B26</f>
        <v>1875.04759386568</v>
      </c>
      <c r="F26" s="148" t="n">
        <f aca="false">22/(15+22+24)*(Y26-4000*B26)</f>
        <v>85252.1639344262</v>
      </c>
      <c r="G26" s="148" t="n">
        <f aca="false">F26/B26</f>
        <v>2750.06980433633</v>
      </c>
      <c r="H26" s="148" t="n">
        <f aca="false">24/(15+22+24)*(Y26-4000*B26)</f>
        <v>93002.3606557377</v>
      </c>
      <c r="I26" s="148" t="n">
        <f aca="false">H26/B26</f>
        <v>3000.07615018509</v>
      </c>
      <c r="J26" s="148" t="n">
        <f aca="false">5000*B26</f>
        <v>155000</v>
      </c>
      <c r="K26" s="148"/>
      <c r="L26" s="148" t="n">
        <f aca="false">S26-J26-C26+AB26+4000*B26</f>
        <v>4364519.1</v>
      </c>
      <c r="M26" s="148" t="n">
        <f aca="false">L26/B26</f>
        <v>140790.938709677</v>
      </c>
      <c r="N26" s="149"/>
      <c r="O26" s="149"/>
      <c r="P26" s="44" t="n">
        <f aca="false">S26+Y26+AB26+V26</f>
        <v>5131974.1</v>
      </c>
      <c r="Q26" s="148" t="n">
        <f aca="false">P26/B26</f>
        <v>165547.551612903</v>
      </c>
      <c r="R26" s="12"/>
      <c r="S26" s="148" t="n">
        <v>4519519.1</v>
      </c>
      <c r="T26" s="150" t="n">
        <v>0.681</v>
      </c>
      <c r="U26" s="148"/>
      <c r="V26" s="148" t="n">
        <v>50574</v>
      </c>
      <c r="W26" s="150" t="n">
        <v>0.679</v>
      </c>
      <c r="X26" s="148"/>
      <c r="Y26" s="151" t="n">
        <v>360381</v>
      </c>
      <c r="Z26" s="152" t="n">
        <v>0.362</v>
      </c>
      <c r="AA26" s="156"/>
      <c r="AB26" s="148" t="n">
        <v>201500</v>
      </c>
      <c r="AC26" s="153" t="n">
        <v>0.315</v>
      </c>
      <c r="AD26" s="150"/>
      <c r="AE26" s="148"/>
      <c r="AF26" s="153"/>
      <c r="AG26" s="154"/>
      <c r="AH26" s="12"/>
      <c r="AI26" s="12"/>
      <c r="AJ26" s="12"/>
      <c r="AK26" s="130" t="n">
        <f aca="false">468000+260000+100000</f>
        <v>828000</v>
      </c>
    </row>
    <row r="27" customFormat="false" ht="12.75" hidden="false" customHeight="false" outlineLevel="0" collapsed="false">
      <c r="A27" s="146" t="n">
        <v>36982</v>
      </c>
      <c r="B27" s="147" t="n">
        <v>30</v>
      </c>
      <c r="C27" s="148" t="n">
        <f aca="false">10500*B27</f>
        <v>315000</v>
      </c>
      <c r="D27" s="148" t="n">
        <f aca="false">15/(15+22+24)*(Y27-4000*B27)</f>
        <v>33259.9180327869</v>
      </c>
      <c r="E27" s="148" t="n">
        <f aca="false">D27/B27</f>
        <v>1108.66393442623</v>
      </c>
      <c r="F27" s="148" t="n">
        <f aca="false">22/(15+22+24)*(Y27-4000*B27)</f>
        <v>48781.2131147541</v>
      </c>
      <c r="G27" s="148" t="n">
        <f aca="false">F27/B27</f>
        <v>1626.04043715847</v>
      </c>
      <c r="H27" s="148" t="n">
        <f aca="false">24/(15+22+24)*(Y27-4000*B27)</f>
        <v>53215.868852459</v>
      </c>
      <c r="I27" s="148" t="n">
        <f aca="false">H27/B27</f>
        <v>1773.86229508197</v>
      </c>
      <c r="J27" s="148" t="n">
        <f aca="false">5000*B27</f>
        <v>150000</v>
      </c>
      <c r="K27" s="148"/>
      <c r="L27" s="148" t="n">
        <f aca="false">S27-J27-C27+AB27+4000*B27</f>
        <v>2057853.2</v>
      </c>
      <c r="M27" s="148" t="n">
        <f aca="false">L27/B27</f>
        <v>68595.1066666667</v>
      </c>
      <c r="N27" s="149"/>
      <c r="O27" s="149"/>
      <c r="P27" s="44" t="n">
        <f aca="false">S27+Y27+AB27+V27</f>
        <v>2685269.2</v>
      </c>
      <c r="Q27" s="148" t="n">
        <f aca="false">P27/B27</f>
        <v>89508.9733333333</v>
      </c>
      <c r="R27" s="12"/>
      <c r="S27" s="148" t="n">
        <v>2207853.2</v>
      </c>
      <c r="T27" s="150" t="n">
        <v>0.709</v>
      </c>
      <c r="U27" s="148"/>
      <c r="V27" s="148" t="n">
        <v>27159</v>
      </c>
      <c r="W27" s="150" t="n">
        <v>0.679</v>
      </c>
      <c r="X27" s="148"/>
      <c r="Y27" s="151" t="n">
        <v>255257</v>
      </c>
      <c r="Z27" s="152" t="n">
        <v>0.39</v>
      </c>
      <c r="AA27" s="156"/>
      <c r="AB27" s="148" t="n">
        <v>195000</v>
      </c>
      <c r="AC27" s="153" t="n">
        <v>0.343</v>
      </c>
      <c r="AD27" s="150"/>
      <c r="AE27" s="148"/>
      <c r="AF27" s="153"/>
      <c r="AG27" s="154"/>
      <c r="AH27" s="12"/>
      <c r="AI27" s="12"/>
      <c r="AJ27" s="12"/>
    </row>
    <row r="28" customFormat="false" ht="12.75" hidden="false" customHeight="false" outlineLevel="0" collapsed="false">
      <c r="A28" s="146" t="n">
        <v>37012</v>
      </c>
      <c r="B28" s="147" t="n">
        <v>31</v>
      </c>
      <c r="C28" s="148" t="n">
        <f aca="false">10500*B28</f>
        <v>325500</v>
      </c>
      <c r="D28" s="148" t="n">
        <f aca="false">15/(15+22+24)*(Y28-4000*B28)</f>
        <v>22591.2295081967</v>
      </c>
      <c r="E28" s="148" t="n">
        <f aca="false">D28/B28</f>
        <v>728.749338974088</v>
      </c>
      <c r="F28" s="148" t="n">
        <f aca="false">22/(15+22+24)*(Y28-4000*B28)</f>
        <v>33133.8032786885</v>
      </c>
      <c r="G28" s="148" t="n">
        <f aca="false">F28/B28</f>
        <v>1068.83236382866</v>
      </c>
      <c r="H28" s="148" t="n">
        <f aca="false">24/(15+22+24)*(Y28-4000*B28)</f>
        <v>36145.9672131148</v>
      </c>
      <c r="I28" s="148" t="n">
        <f aca="false">H28/B28</f>
        <v>1165.99894235854</v>
      </c>
      <c r="J28" s="148" t="n">
        <f aca="false">5000*B28</f>
        <v>155000</v>
      </c>
      <c r="K28" s="148"/>
      <c r="L28" s="148" t="n">
        <f aca="false">S28-J28-C28+AB28+4000*B28</f>
        <v>1440349.6</v>
      </c>
      <c r="M28" s="148" t="n">
        <f aca="false">L28/B28</f>
        <v>46462.8903225807</v>
      </c>
      <c r="N28" s="149"/>
      <c r="O28" s="149"/>
      <c r="P28" s="44" t="n">
        <f aca="false">S28+Y28+AB28+V28</f>
        <v>2034219.6</v>
      </c>
      <c r="Q28" s="148" t="n">
        <f aca="false">P28/B28</f>
        <v>65619.9870967742</v>
      </c>
      <c r="R28" s="12"/>
      <c r="S28" s="148" t="n">
        <v>1595349.6</v>
      </c>
      <c r="T28" s="150" t="n">
        <v>0.709</v>
      </c>
      <c r="U28" s="148"/>
      <c r="V28" s="148" t="n">
        <v>21499</v>
      </c>
      <c r="W28" s="150" t="n">
        <v>0.679</v>
      </c>
      <c r="X28" s="148"/>
      <c r="Y28" s="151" t="n">
        <v>215871</v>
      </c>
      <c r="Z28" s="152" t="n">
        <v>0.39</v>
      </c>
      <c r="AA28" s="156"/>
      <c r="AB28" s="148" t="n">
        <v>201500</v>
      </c>
      <c r="AC28" s="153" t="n">
        <v>0.343</v>
      </c>
      <c r="AD28" s="150"/>
      <c r="AE28" s="148"/>
      <c r="AF28" s="148"/>
      <c r="AG28" s="154"/>
      <c r="AH28" s="12"/>
      <c r="AI28" s="12"/>
      <c r="AJ28" s="12"/>
    </row>
    <row r="29" customFormat="false" ht="12.75" hidden="false" customHeight="false" outlineLevel="0" collapsed="false">
      <c r="A29" s="146" t="n">
        <v>37043</v>
      </c>
      <c r="B29" s="147" t="n">
        <v>30</v>
      </c>
      <c r="C29" s="148" t="n">
        <f aca="false">10500*B29</f>
        <v>315000</v>
      </c>
      <c r="D29" s="148" t="n">
        <f aca="false">15/(15+22+24)*(Y29-4000*B29)</f>
        <v>16286.0655737705</v>
      </c>
      <c r="E29" s="148" t="n">
        <f aca="false">D29/B29</f>
        <v>542.868852459016</v>
      </c>
      <c r="F29" s="148" t="n">
        <f aca="false">22/(15+22+24)*(Y29-4000*B29)</f>
        <v>23886.2295081967</v>
      </c>
      <c r="G29" s="148" t="n">
        <f aca="false">F29/B29</f>
        <v>796.207650273224</v>
      </c>
      <c r="H29" s="148" t="n">
        <f aca="false">24/(15+22+24)*(Y29-4000*B29)</f>
        <v>26057.7049180328</v>
      </c>
      <c r="I29" s="148" t="n">
        <f aca="false">H29/B29</f>
        <v>868.590163934426</v>
      </c>
      <c r="J29" s="148" t="n">
        <f aca="false">5000*B29</f>
        <v>150000</v>
      </c>
      <c r="K29" s="148"/>
      <c r="L29" s="148" t="n">
        <f aca="false">S29-J29-C29+AB29+4000*B29</f>
        <v>929934.9</v>
      </c>
      <c r="M29" s="148" t="n">
        <f aca="false">L29/B29</f>
        <v>30997.83</v>
      </c>
      <c r="N29" s="149"/>
      <c r="O29" s="149"/>
      <c r="P29" s="44" t="n">
        <f aca="false">S29+Y29+AB29+V29</f>
        <v>1477414.9</v>
      </c>
      <c r="Q29" s="148" t="n">
        <f aca="false">P29/B29</f>
        <v>49247.1633333333</v>
      </c>
      <c r="R29" s="12"/>
      <c r="S29" s="148" t="n">
        <v>1079934.9</v>
      </c>
      <c r="T29" s="150" t="n">
        <v>0.709</v>
      </c>
      <c r="U29" s="148"/>
      <c r="V29" s="148" t="n">
        <v>16250</v>
      </c>
      <c r="W29" s="150" t="n">
        <v>0.679</v>
      </c>
      <c r="X29" s="148"/>
      <c r="Y29" s="151" t="n">
        <v>186230</v>
      </c>
      <c r="Z29" s="152" t="n">
        <v>0.39</v>
      </c>
      <c r="AA29" s="156"/>
      <c r="AB29" s="148" t="n">
        <v>195000</v>
      </c>
      <c r="AC29" s="153" t="n">
        <v>0.343</v>
      </c>
      <c r="AD29" s="150"/>
      <c r="AE29" s="148"/>
      <c r="AF29" s="148"/>
      <c r="AG29" s="154"/>
      <c r="AH29" s="12"/>
      <c r="AI29" s="12"/>
      <c r="AJ29" s="12"/>
    </row>
    <row r="30" customFormat="false" ht="12.75" hidden="false" customHeight="false" outlineLevel="0" collapsed="false">
      <c r="A30" s="146" t="n">
        <v>37073</v>
      </c>
      <c r="B30" s="147" t="n">
        <v>31</v>
      </c>
      <c r="C30" s="148"/>
      <c r="D30" s="148" t="n">
        <f aca="false">15/(15+22+24)*Y30</f>
        <v>17798.4802256557</v>
      </c>
      <c r="E30" s="148" t="n">
        <f aca="false">D30/B30</f>
        <v>574.14452340825</v>
      </c>
      <c r="F30" s="148" t="n">
        <f aca="false">22/(15+22+24)*Y30</f>
        <v>26104.4376642951</v>
      </c>
      <c r="G30" s="148" t="n">
        <f aca="false">F30/B30</f>
        <v>842.078634332099</v>
      </c>
      <c r="H30" s="148" t="n">
        <f aca="false">24/(15+22+24)*Y30</f>
        <v>28477.5683610492</v>
      </c>
      <c r="I30" s="148" t="n">
        <f aca="false">H30/B30</f>
        <v>918.631237453199</v>
      </c>
      <c r="J30" s="148" t="n">
        <f aca="false">5000*B30</f>
        <v>155000</v>
      </c>
      <c r="K30" s="148"/>
      <c r="L30" s="148" t="n">
        <f aca="false">S30-J30-C30+AB30</f>
        <v>1304598.2</v>
      </c>
      <c r="M30" s="148" t="n">
        <f aca="false">L30/B30</f>
        <v>42083.8129032258</v>
      </c>
      <c r="N30" s="149"/>
      <c r="O30" s="149"/>
      <c r="P30" s="44" t="n">
        <f aca="false">S30+Y30+AB30+V30</f>
        <v>1548775.686251</v>
      </c>
      <c r="Q30" s="148" t="n">
        <f aca="false">P30/B30</f>
        <v>49960.5060080968</v>
      </c>
      <c r="R30" s="12"/>
      <c r="S30" s="148" t="n">
        <v>1459598.2</v>
      </c>
      <c r="T30" s="150" t="n">
        <v>0.709</v>
      </c>
      <c r="U30" s="148"/>
      <c r="V30" s="148" t="n">
        <v>16797</v>
      </c>
      <c r="W30" s="150" t="n">
        <v>0.679</v>
      </c>
      <c r="X30" s="148"/>
      <c r="Y30" s="151" t="n">
        <v>72380.486251</v>
      </c>
      <c r="Z30" s="152" t="n">
        <v>0.54</v>
      </c>
      <c r="AA30" s="156"/>
      <c r="AB30" s="148"/>
      <c r="AC30" s="153"/>
      <c r="AD30" s="148"/>
      <c r="AE30" s="148"/>
      <c r="AF30" s="148"/>
      <c r="AG30" s="154"/>
      <c r="AH30" s="12"/>
      <c r="AI30" s="12"/>
      <c r="AJ30" s="12"/>
    </row>
    <row r="31" customFormat="false" ht="12.75" hidden="false" customHeight="false" outlineLevel="0" collapsed="false">
      <c r="A31" s="146" t="n">
        <v>37104</v>
      </c>
      <c r="B31" s="147" t="n">
        <v>31</v>
      </c>
      <c r="C31" s="148"/>
      <c r="D31" s="148" t="n">
        <f aca="false">15/(15+22+24)*Y31</f>
        <v>17044.1943966393</v>
      </c>
      <c r="E31" s="148" t="n">
        <f aca="false">D31/B31</f>
        <v>549.812722472237</v>
      </c>
      <c r="F31" s="148" t="n">
        <f aca="false">22/(15+22+24)*Y31</f>
        <v>24998.1517817377</v>
      </c>
      <c r="G31" s="148" t="n">
        <f aca="false">F31/B31</f>
        <v>806.391992959281</v>
      </c>
      <c r="H31" s="148" t="n">
        <f aca="false">24/(15+22+24)*Y31</f>
        <v>27270.711034623</v>
      </c>
      <c r="I31" s="148" t="n">
        <f aca="false">H31/B31</f>
        <v>879.700355955579</v>
      </c>
      <c r="J31" s="148" t="n">
        <f aca="false">5000*B31</f>
        <v>155000</v>
      </c>
      <c r="K31" s="148"/>
      <c r="L31" s="148" t="n">
        <f aca="false">S31-J31-C31+AB31</f>
        <v>1722086.2</v>
      </c>
      <c r="M31" s="148" t="n">
        <f aca="false">L31/B31</f>
        <v>55551.1677419355</v>
      </c>
      <c r="N31" s="149"/>
      <c r="O31" s="149"/>
      <c r="P31" s="44" t="n">
        <f aca="false">S31+Y31+AB31+V31</f>
        <v>1967441.257213</v>
      </c>
      <c r="Q31" s="148" t="n">
        <f aca="false">P31/B31</f>
        <v>63465.847006871</v>
      </c>
      <c r="R31" s="12"/>
      <c r="S31" s="148" t="n">
        <v>1877086.2</v>
      </c>
      <c r="T31" s="150" t="n">
        <v>0.709</v>
      </c>
      <c r="U31" s="148"/>
      <c r="V31" s="148" t="n">
        <v>21042</v>
      </c>
      <c r="W31" s="150" t="n">
        <v>0.679</v>
      </c>
      <c r="X31" s="148"/>
      <c r="Y31" s="151" t="n">
        <v>69313.057213</v>
      </c>
      <c r="Z31" s="152" t="n">
        <v>0.54</v>
      </c>
      <c r="AA31" s="156"/>
      <c r="AB31" s="148"/>
      <c r="AC31" s="153"/>
      <c r="AD31" s="148"/>
      <c r="AE31" s="148"/>
      <c r="AF31" s="148"/>
      <c r="AG31" s="154"/>
      <c r="AH31" s="12"/>
      <c r="AI31" s="12"/>
      <c r="AJ31" s="12"/>
    </row>
    <row r="32" customFormat="false" ht="12.75" hidden="false" customHeight="false" outlineLevel="0" collapsed="false">
      <c r="A32" s="146" t="n">
        <v>37135</v>
      </c>
      <c r="B32" s="147" t="n">
        <v>30</v>
      </c>
      <c r="C32" s="148"/>
      <c r="D32" s="148" t="n">
        <f aca="false">15/(15+22+24)*Y32</f>
        <v>15018.4379343443</v>
      </c>
      <c r="E32" s="148" t="n">
        <f aca="false">D32/B32</f>
        <v>500.614597811475</v>
      </c>
      <c r="F32" s="148" t="n">
        <f aca="false">22/(15+22+24)*Y32</f>
        <v>22027.0423037049</v>
      </c>
      <c r="G32" s="148" t="n">
        <f aca="false">F32/B32</f>
        <v>734.234743456831</v>
      </c>
      <c r="H32" s="148" t="n">
        <f aca="false">24/(15+22+24)*Y32</f>
        <v>24029.5006949508</v>
      </c>
      <c r="I32" s="148" t="n">
        <f aca="false">H32/B32</f>
        <v>800.983356498361</v>
      </c>
      <c r="J32" s="148" t="n">
        <f aca="false">5000*B32</f>
        <v>150000</v>
      </c>
      <c r="K32" s="148"/>
      <c r="L32" s="148" t="n">
        <f aca="false">S32-J32-C32+AB32</f>
        <v>1454229.4</v>
      </c>
      <c r="M32" s="148" t="n">
        <f aca="false">L32/B32</f>
        <v>48474.3133333333</v>
      </c>
      <c r="N32" s="149"/>
      <c r="O32" s="149"/>
      <c r="P32" s="44" t="n">
        <f aca="false">S32+Y32+AB32+V32</f>
        <v>1683562.380933</v>
      </c>
      <c r="Q32" s="148" t="n">
        <f aca="false">P32/B32</f>
        <v>56118.7460311</v>
      </c>
      <c r="R32" s="12"/>
      <c r="S32" s="148" t="n">
        <v>1604229.4</v>
      </c>
      <c r="T32" s="150" t="n">
        <v>0.709</v>
      </c>
      <c r="U32" s="148"/>
      <c r="V32" s="148" t="n">
        <v>18258</v>
      </c>
      <c r="W32" s="150" t="n">
        <v>0.679</v>
      </c>
      <c r="X32" s="148"/>
      <c r="Y32" s="151" t="n">
        <v>61074.980933</v>
      </c>
      <c r="Z32" s="152" t="n">
        <v>0.54</v>
      </c>
      <c r="AA32" s="156"/>
      <c r="AB32" s="148"/>
      <c r="AC32" s="153"/>
      <c r="AD32" s="148"/>
      <c r="AE32" s="148"/>
      <c r="AF32" s="148"/>
      <c r="AG32" s="154"/>
      <c r="AH32" s="12"/>
      <c r="AI32" s="12"/>
      <c r="AJ32" s="12"/>
    </row>
    <row r="33" customFormat="false" ht="12.75" hidden="false" customHeight="false" outlineLevel="0" collapsed="false">
      <c r="A33" s="146" t="n">
        <v>37165</v>
      </c>
      <c r="B33" s="147" t="n">
        <v>31</v>
      </c>
      <c r="C33" s="148"/>
      <c r="D33" s="148" t="n">
        <f aca="false">15/(15+22+24)*Y33</f>
        <v>30126.0550804918</v>
      </c>
      <c r="E33" s="148" t="n">
        <f aca="false">D33/B33</f>
        <v>971.808228402961</v>
      </c>
      <c r="F33" s="148" t="n">
        <f aca="false">22/(15+22+24)*Y33</f>
        <v>44184.8807847213</v>
      </c>
      <c r="G33" s="148" t="n">
        <f aca="false">F33/B33</f>
        <v>1425.31873499101</v>
      </c>
      <c r="H33" s="148" t="n">
        <f aca="false">24/(15+22+24)*Y33</f>
        <v>48201.6881287869</v>
      </c>
      <c r="I33" s="148" t="n">
        <f aca="false">H33/B33</f>
        <v>1554.89316544474</v>
      </c>
      <c r="J33" s="148" t="n">
        <f aca="false">5000*B33</f>
        <v>155000</v>
      </c>
      <c r="K33" s="148"/>
      <c r="L33" s="148" t="n">
        <f aca="false">S33-J33-C33+AB33</f>
        <v>1956878.7</v>
      </c>
      <c r="M33" s="148" t="n">
        <f aca="false">L33/B33</f>
        <v>63125.1193548387</v>
      </c>
      <c r="N33" s="149"/>
      <c r="O33" s="149"/>
      <c r="P33" s="44" t="n">
        <f aca="false">S33+Y33+AB33+V33</f>
        <v>2257579.323994</v>
      </c>
      <c r="Q33" s="148" t="n">
        <f aca="false">P33/B33</f>
        <v>72825.1394836774</v>
      </c>
      <c r="R33" s="12"/>
      <c r="S33" s="148" t="n">
        <v>2111878.7</v>
      </c>
      <c r="T33" s="150" t="n">
        <v>0.709</v>
      </c>
      <c r="U33" s="148"/>
      <c r="V33" s="148" t="n">
        <v>23188</v>
      </c>
      <c r="W33" s="150" t="n">
        <v>0.679</v>
      </c>
      <c r="X33" s="148"/>
      <c r="Y33" s="151" t="n">
        <v>122512.623994</v>
      </c>
      <c r="Z33" s="152" t="n">
        <v>0.54</v>
      </c>
      <c r="AA33" s="156"/>
      <c r="AB33" s="148"/>
      <c r="AC33" s="153"/>
      <c r="AD33" s="148"/>
      <c r="AE33" s="148"/>
      <c r="AF33" s="148"/>
      <c r="AG33" s="154"/>
      <c r="AH33" s="12"/>
      <c r="AI33" s="12"/>
      <c r="AJ33" s="12"/>
    </row>
    <row r="34" customFormat="false" ht="12.75" hidden="false" customHeight="false" outlineLevel="0" collapsed="false">
      <c r="A34" s="146" t="n">
        <v>37196</v>
      </c>
      <c r="B34" s="147" t="n">
        <v>30</v>
      </c>
      <c r="C34" s="148"/>
      <c r="D34" s="148" t="n">
        <f aca="false">15/(15+22+24)*Y34</f>
        <v>56202.5228095082</v>
      </c>
      <c r="E34" s="148" t="n">
        <f aca="false">D34/B34</f>
        <v>1873.41742698361</v>
      </c>
      <c r="F34" s="148" t="n">
        <f aca="false">22/(15+22+24)*Y34</f>
        <v>82430.3667872787</v>
      </c>
      <c r="G34" s="148" t="n">
        <f aca="false">F34/B34</f>
        <v>2747.67889290929</v>
      </c>
      <c r="H34" s="148" t="n">
        <f aca="false">24/(15+22+24)*Y34</f>
        <v>89924.0364952131</v>
      </c>
      <c r="I34" s="148" t="n">
        <f aca="false">H34/B34</f>
        <v>2997.46788317377</v>
      </c>
      <c r="J34" s="148" t="n">
        <f aca="false">5000*B34</f>
        <v>150000</v>
      </c>
      <c r="K34" s="148"/>
      <c r="L34" s="148" t="n">
        <f aca="false">S34-J34-C34+AB34</f>
        <v>3906781.5</v>
      </c>
      <c r="M34" s="148" t="n">
        <f aca="false">L34/B34</f>
        <v>130226.05</v>
      </c>
      <c r="N34" s="149"/>
      <c r="O34" s="149"/>
      <c r="P34" s="44" t="n">
        <f aca="false">S34+Y34+AB34+V34</f>
        <v>4327696.426092</v>
      </c>
      <c r="Q34" s="148" t="n">
        <f aca="false">P34/B34</f>
        <v>144256.5475364</v>
      </c>
      <c r="R34" s="12"/>
      <c r="S34" s="148" t="n">
        <v>4056781.5</v>
      </c>
      <c r="T34" s="150" t="n">
        <v>0.6691</v>
      </c>
      <c r="U34" s="148"/>
      <c r="V34" s="148" t="n">
        <v>42358</v>
      </c>
      <c r="W34" s="150" t="n">
        <v>0.679</v>
      </c>
      <c r="X34" s="148"/>
      <c r="Y34" s="151" t="n">
        <v>228556.926092</v>
      </c>
      <c r="Z34" s="152" t="n">
        <v>0.5001</v>
      </c>
      <c r="AA34" s="156"/>
      <c r="AB34" s="148"/>
      <c r="AC34" s="153"/>
      <c r="AD34" s="148"/>
      <c r="AE34" s="148"/>
      <c r="AF34" s="148"/>
      <c r="AG34" s="154"/>
      <c r="AH34" s="12"/>
      <c r="AI34" s="12"/>
      <c r="AJ34" s="12"/>
      <c r="AK34" s="130" t="n">
        <f aca="false">468000+260000+100000</f>
        <v>828000</v>
      </c>
    </row>
    <row r="35" customFormat="false" ht="12.75" hidden="false" customHeight="false" outlineLevel="0" collapsed="false">
      <c r="A35" s="146" t="n">
        <v>37226</v>
      </c>
      <c r="B35" s="147" t="n">
        <v>31</v>
      </c>
      <c r="C35" s="148"/>
      <c r="D35" s="148" t="n">
        <f aca="false">15/(15+22+24)*Y35</f>
        <v>78096.4041130328</v>
      </c>
      <c r="E35" s="148" t="n">
        <f aca="false">D35/B35</f>
        <v>2519.2388423559</v>
      </c>
      <c r="F35" s="148" t="n">
        <f aca="false">22/(15+22+24)*Y35</f>
        <v>114541.392699115</v>
      </c>
      <c r="G35" s="148" t="n">
        <f aca="false">F35/B35</f>
        <v>3694.88363545532</v>
      </c>
      <c r="H35" s="148" t="n">
        <f aca="false">24/(15+22+24)*Y35</f>
        <v>124954.246580852</v>
      </c>
      <c r="I35" s="148" t="n">
        <f aca="false">H35/B35</f>
        <v>4030.78214776943</v>
      </c>
      <c r="J35" s="148" t="n">
        <f aca="false">5000*B35</f>
        <v>155000</v>
      </c>
      <c r="K35" s="148"/>
      <c r="L35" s="148" t="n">
        <f aca="false">S35-J35-C35+AB35</f>
        <v>6831231.5</v>
      </c>
      <c r="M35" s="148" t="n">
        <f aca="false">L35/B35</f>
        <v>220362.306451613</v>
      </c>
      <c r="N35" s="149"/>
      <c r="O35" s="149"/>
      <c r="P35" s="44" t="n">
        <f aca="false">S35+Y35+AB35+V35</f>
        <v>7375850.543393</v>
      </c>
      <c r="Q35" s="148" t="n">
        <f aca="false">P35/B35</f>
        <v>237930.662690097</v>
      </c>
      <c r="R35" s="12"/>
      <c r="S35" s="148" t="n">
        <v>6986231.5</v>
      </c>
      <c r="T35" s="150" t="n">
        <v>0.6734</v>
      </c>
      <c r="U35" s="148"/>
      <c r="V35" s="148" t="n">
        <v>72027</v>
      </c>
      <c r="W35" s="150" t="n">
        <v>0.679</v>
      </c>
      <c r="X35" s="148"/>
      <c r="Y35" s="151" t="n">
        <v>317592.043393</v>
      </c>
      <c r="Z35" s="152" t="n">
        <v>0.5044</v>
      </c>
      <c r="AA35" s="156"/>
      <c r="AB35" s="148"/>
      <c r="AC35" s="153"/>
      <c r="AD35" s="148"/>
      <c r="AE35" s="148"/>
      <c r="AF35" s="148"/>
      <c r="AG35" s="154"/>
      <c r="AH35" s="12"/>
      <c r="AI35" s="12"/>
      <c r="AJ35" s="12"/>
      <c r="AK35" s="130" t="n">
        <f aca="false">468000+260000+100000</f>
        <v>828000</v>
      </c>
    </row>
    <row r="36" customFormat="false" ht="12.75" hidden="false" customHeight="false" outlineLevel="0" collapsed="false">
      <c r="A36" s="146" t="n">
        <v>37257</v>
      </c>
      <c r="B36" s="147" t="n">
        <v>31</v>
      </c>
      <c r="C36" s="148"/>
      <c r="D36" s="148" t="n">
        <f aca="false">15/(15+22+24)*Y36</f>
        <v>102994.030667951</v>
      </c>
      <c r="E36" s="148" t="n">
        <f aca="false">D36/B36</f>
        <v>3322.38808606293</v>
      </c>
      <c r="F36" s="148" t="n">
        <f aca="false">22/(15+22+24)*Y36</f>
        <v>151057.911646328</v>
      </c>
      <c r="G36" s="148" t="n">
        <f aca="false">F36/B36</f>
        <v>4872.83585955896</v>
      </c>
      <c r="H36" s="148" t="n">
        <f aca="false">24/(15+22+24)*Y36</f>
        <v>164790.449068721</v>
      </c>
      <c r="I36" s="148" t="n">
        <f aca="false">H36/B36</f>
        <v>5315.82093770069</v>
      </c>
      <c r="J36" s="148" t="n">
        <f aca="false">5000*B36</f>
        <v>155000</v>
      </c>
      <c r="K36" s="148"/>
      <c r="L36" s="148" t="n">
        <f aca="false">S36-J36-C36+AB36</f>
        <v>8415326.3</v>
      </c>
      <c r="M36" s="148" t="n">
        <f aca="false">L36/B36</f>
        <v>271462.138709677</v>
      </c>
      <c r="N36" s="149"/>
      <c r="O36" s="149"/>
      <c r="P36" s="44" t="n">
        <f aca="false">S36+Y36+AB36+V36</f>
        <v>9078806.691383</v>
      </c>
      <c r="Q36" s="148" t="n">
        <f aca="false">P36/B36</f>
        <v>292864.731980097</v>
      </c>
      <c r="R36" s="12"/>
      <c r="S36" s="148" t="n">
        <v>8570326.3</v>
      </c>
      <c r="T36" s="150" t="n">
        <v>0.6811</v>
      </c>
      <c r="U36" s="148"/>
      <c r="V36" s="148" t="n">
        <v>89638</v>
      </c>
      <c r="W36" s="150" t="n">
        <v>0.679</v>
      </c>
      <c r="X36" s="148"/>
      <c r="Y36" s="151" t="n">
        <v>418842.391383</v>
      </c>
      <c r="Z36" s="152" t="n">
        <v>0.5121</v>
      </c>
      <c r="AA36" s="156"/>
      <c r="AB36" s="148"/>
      <c r="AC36" s="153"/>
      <c r="AD36" s="148"/>
      <c r="AE36" s="148"/>
      <c r="AF36" s="148"/>
      <c r="AG36" s="154"/>
      <c r="AH36" s="12"/>
      <c r="AI36" s="12"/>
      <c r="AJ36" s="12"/>
      <c r="AK36" s="130" t="n">
        <f aca="false">468000+260000+100000</f>
        <v>828000</v>
      </c>
    </row>
    <row r="37" customFormat="false" ht="12.75" hidden="false" customHeight="false" outlineLevel="0" collapsed="false">
      <c r="A37" s="146" t="n">
        <v>37288</v>
      </c>
      <c r="B37" s="147" t="n">
        <v>28</v>
      </c>
      <c r="C37" s="148"/>
      <c r="D37" s="148" t="n">
        <f aca="false">15/(15+22+24)*Y37</f>
        <v>68039.1168604918</v>
      </c>
      <c r="E37" s="148" t="n">
        <f aca="false">D37/B37</f>
        <v>2429.96845930328</v>
      </c>
      <c r="F37" s="148" t="n">
        <f aca="false">22/(15+22+24)*Y37</f>
        <v>99790.7047287213</v>
      </c>
      <c r="G37" s="148" t="n">
        <f aca="false">F37/B37</f>
        <v>3563.95374031148</v>
      </c>
      <c r="H37" s="148" t="n">
        <f aca="false">24/(15+22+24)*Y37</f>
        <v>108862.586976787</v>
      </c>
      <c r="I37" s="148" t="n">
        <f aca="false">H37/B37</f>
        <v>3887.94953488525</v>
      </c>
      <c r="J37" s="148" t="n">
        <f aca="false">5000*B37</f>
        <v>140000</v>
      </c>
      <c r="K37" s="148"/>
      <c r="L37" s="148" t="n">
        <f aca="false">S37-J37-C37+AB37</f>
        <v>5840556.4</v>
      </c>
      <c r="M37" s="148" t="n">
        <f aca="false">L37/B37</f>
        <v>208591.3</v>
      </c>
      <c r="N37" s="149"/>
      <c r="O37" s="149"/>
      <c r="P37" s="44" t="n">
        <f aca="false">S37+Y37+AB37+V37</f>
        <v>6320255.808566</v>
      </c>
      <c r="Q37" s="148" t="n">
        <f aca="false">P37/B37</f>
        <v>225723.4217345</v>
      </c>
      <c r="R37" s="12"/>
      <c r="S37" s="148" t="n">
        <v>5980556.4</v>
      </c>
      <c r="T37" s="150" t="n">
        <v>0.6814</v>
      </c>
      <c r="U37" s="148"/>
      <c r="V37" s="148" t="n">
        <v>63007</v>
      </c>
      <c r="W37" s="150" t="n">
        <v>0.679</v>
      </c>
      <c r="X37" s="148"/>
      <c r="Y37" s="151" t="n">
        <v>276692.408566</v>
      </c>
      <c r="Z37" s="152" t="n">
        <v>0.5124</v>
      </c>
      <c r="AA37" s="156"/>
      <c r="AB37" s="148"/>
      <c r="AC37" s="153"/>
      <c r="AD37" s="148"/>
      <c r="AE37" s="148"/>
      <c r="AF37" s="148"/>
      <c r="AG37" s="154"/>
      <c r="AH37" s="12"/>
      <c r="AI37" s="12"/>
      <c r="AJ37" s="12"/>
      <c r="AK37" s="130" t="n">
        <f aca="false">468000+260000+100000</f>
        <v>828000</v>
      </c>
    </row>
    <row r="38" customFormat="false" ht="12.75" hidden="false" customHeight="false" outlineLevel="0" collapsed="false">
      <c r="A38" s="146" t="n">
        <v>37316</v>
      </c>
      <c r="B38" s="147" t="n">
        <v>31</v>
      </c>
      <c r="C38" s="148"/>
      <c r="D38" s="148" t="n">
        <f aca="false">15/(15+22+24)*Y38</f>
        <v>58707.7952540164</v>
      </c>
      <c r="E38" s="148" t="n">
        <f aca="false">D38/B38</f>
        <v>1893.79984690375</v>
      </c>
      <c r="F38" s="148" t="n">
        <f aca="false">22/(15+22+24)*Y38</f>
        <v>86104.7663725574</v>
      </c>
      <c r="G38" s="148" t="n">
        <f aca="false">F38/B38</f>
        <v>2777.57310879217</v>
      </c>
      <c r="H38" s="148" t="n">
        <f aca="false">24/(15+22+24)*Y38</f>
        <v>93932.4724064262</v>
      </c>
      <c r="I38" s="148" t="n">
        <f aca="false">H38/B38</f>
        <v>3030.07975504601</v>
      </c>
      <c r="J38" s="148" t="n">
        <f aca="false">5000*B38</f>
        <v>155000</v>
      </c>
      <c r="K38" s="148"/>
      <c r="L38" s="148" t="n">
        <f aca="false">S38-J38-C38+AB38</f>
        <v>4744375.3</v>
      </c>
      <c r="M38" s="148" t="n">
        <f aca="false">L38/B38</f>
        <v>153044.364516129</v>
      </c>
      <c r="N38" s="149"/>
      <c r="O38" s="149"/>
      <c r="P38" s="44" t="n">
        <f aca="false">S38+Y38+AB38+V38</f>
        <v>5190531.334033</v>
      </c>
      <c r="Q38" s="148" t="n">
        <f aca="false">P38/B38</f>
        <v>167436.494646226</v>
      </c>
      <c r="R38" s="12"/>
      <c r="S38" s="148" t="n">
        <v>4899375.3</v>
      </c>
      <c r="T38" s="150" t="n">
        <v>0.681</v>
      </c>
      <c r="U38" s="148"/>
      <c r="V38" s="148" t="n">
        <v>52411</v>
      </c>
      <c r="W38" s="150" t="n">
        <v>0.679</v>
      </c>
      <c r="X38" s="148"/>
      <c r="Y38" s="151" t="n">
        <v>238745.034033</v>
      </c>
      <c r="Z38" s="152" t="n">
        <v>0.512</v>
      </c>
      <c r="AA38" s="156"/>
      <c r="AB38" s="148"/>
      <c r="AC38" s="153"/>
      <c r="AD38" s="148"/>
      <c r="AE38" s="148"/>
      <c r="AF38" s="148"/>
      <c r="AG38" s="154"/>
      <c r="AH38" s="12"/>
      <c r="AI38" s="12"/>
      <c r="AJ38" s="12"/>
      <c r="AK38" s="130" t="n">
        <f aca="false">468000+260000+100000</f>
        <v>828000</v>
      </c>
    </row>
    <row r="39" customFormat="false" ht="12.75" hidden="false" customHeight="false" outlineLevel="0" collapsed="false">
      <c r="A39" s="146" t="n">
        <v>37347</v>
      </c>
      <c r="B39" s="147" t="n">
        <v>30</v>
      </c>
      <c r="C39" s="148"/>
      <c r="D39" s="148" t="n">
        <f aca="false">15/(15+22+24)*Y39</f>
        <v>33592.536814918</v>
      </c>
      <c r="E39" s="148" t="n">
        <f aca="false">D39/B39</f>
        <v>1119.75122716393</v>
      </c>
      <c r="F39" s="148" t="n">
        <f aca="false">22/(15+22+24)*Y39</f>
        <v>49269.0539952131</v>
      </c>
      <c r="G39" s="148" t="n">
        <f aca="false">F39/B39</f>
        <v>1642.30179984044</v>
      </c>
      <c r="H39" s="148" t="n">
        <f aca="false">24/(15+22+24)*Y39</f>
        <v>53748.0589038689</v>
      </c>
      <c r="I39" s="148" t="n">
        <f aca="false">H39/B39</f>
        <v>1791.60196346229</v>
      </c>
      <c r="J39" s="148" t="n">
        <f aca="false">5000*B39</f>
        <v>150000</v>
      </c>
      <c r="K39" s="148"/>
      <c r="L39" s="148" t="n">
        <f aca="false">S39-J39-C39+AB39</f>
        <v>2700872.1</v>
      </c>
      <c r="M39" s="148" t="n">
        <f aca="false">L39/B39</f>
        <v>90029.07</v>
      </c>
      <c r="N39" s="149"/>
      <c r="O39" s="149"/>
      <c r="P39" s="44" t="n">
        <f aca="false">S39+Y39+AB39+V39</f>
        <v>3015626.749714</v>
      </c>
      <c r="Q39" s="148" t="n">
        <f aca="false">P39/B39</f>
        <v>100520.891657133</v>
      </c>
      <c r="R39" s="12"/>
      <c r="S39" s="148" t="n">
        <v>2850872.1</v>
      </c>
      <c r="T39" s="150" t="n">
        <v>0.709</v>
      </c>
      <c r="U39" s="148"/>
      <c r="V39" s="148" t="n">
        <v>28145</v>
      </c>
      <c r="W39" s="150" t="n">
        <v>0.679</v>
      </c>
      <c r="X39" s="148"/>
      <c r="Y39" s="151" t="n">
        <v>136609.649714</v>
      </c>
      <c r="Z39" s="152" t="n">
        <v>0.54</v>
      </c>
      <c r="AA39" s="156"/>
      <c r="AB39" s="148"/>
      <c r="AC39" s="153"/>
      <c r="AD39" s="148"/>
      <c r="AE39" s="148"/>
      <c r="AF39" s="148"/>
      <c r="AG39" s="154"/>
      <c r="AH39" s="12"/>
      <c r="AI39" s="12"/>
      <c r="AJ39" s="12"/>
    </row>
    <row r="40" customFormat="false" ht="12.75" hidden="false" customHeight="false" outlineLevel="0" collapsed="false">
      <c r="A40" s="146" t="n">
        <v>37377</v>
      </c>
      <c r="B40" s="147" t="n">
        <v>31</v>
      </c>
      <c r="C40" s="148"/>
      <c r="D40" s="148" t="n">
        <f aca="false">15/(15+22+24)*Y40</f>
        <v>22817.2234163115</v>
      </c>
      <c r="E40" s="148" t="n">
        <f aca="false">D40/B40</f>
        <v>736.039465042306</v>
      </c>
      <c r="F40" s="148" t="n">
        <f aca="false">22/(15+22+24)*Y40</f>
        <v>33465.2610105902</v>
      </c>
      <c r="G40" s="148" t="n">
        <f aca="false">F40/B40</f>
        <v>1079.52454872872</v>
      </c>
      <c r="H40" s="148" t="n">
        <f aca="false">24/(15+22+24)*Y40</f>
        <v>36507.5574660984</v>
      </c>
      <c r="I40" s="148" t="n">
        <f aca="false">H40/B40</f>
        <v>1177.66314406769</v>
      </c>
      <c r="J40" s="148" t="n">
        <f aca="false">5000*B40</f>
        <v>155000</v>
      </c>
      <c r="K40" s="148"/>
      <c r="L40" s="148" t="n">
        <f aca="false">S40-J40-C40+AB40</f>
        <v>2098110.3</v>
      </c>
      <c r="M40" s="148" t="n">
        <f aca="false">L40/B40</f>
        <v>67680.9774193548</v>
      </c>
      <c r="N40" s="149"/>
      <c r="O40" s="149"/>
      <c r="P40" s="44" t="n">
        <f aca="false">S40+Y40+AB40+V40</f>
        <v>2368179.341893</v>
      </c>
      <c r="Q40" s="148" t="n">
        <f aca="false">P40/B40</f>
        <v>76392.8819965484</v>
      </c>
      <c r="R40" s="12"/>
      <c r="S40" s="148" t="n">
        <v>2253110.3</v>
      </c>
      <c r="T40" s="150" t="n">
        <v>0.709</v>
      </c>
      <c r="U40" s="148"/>
      <c r="V40" s="148" t="n">
        <v>22279</v>
      </c>
      <c r="W40" s="150" t="n">
        <v>0.679</v>
      </c>
      <c r="X40" s="148"/>
      <c r="Y40" s="151" t="n">
        <v>92790.041893</v>
      </c>
      <c r="Z40" s="152" t="n">
        <v>0.54</v>
      </c>
      <c r="AA40" s="156"/>
      <c r="AB40" s="148"/>
      <c r="AC40" s="153"/>
      <c r="AD40" s="148"/>
      <c r="AE40" s="148"/>
      <c r="AF40" s="148"/>
      <c r="AG40" s="154"/>
      <c r="AH40" s="12"/>
      <c r="AI40" s="12"/>
      <c r="AJ40" s="12"/>
    </row>
    <row r="41" customFormat="false" ht="12.75" hidden="false" customHeight="false" outlineLevel="0" collapsed="false">
      <c r="A41" s="146" t="n">
        <v>37408</v>
      </c>
      <c r="B41" s="147" t="n">
        <v>30</v>
      </c>
      <c r="C41" s="148"/>
      <c r="D41" s="148" t="n">
        <f aca="false">15/(15+22+24)*Y41</f>
        <v>16449.1646862295</v>
      </c>
      <c r="E41" s="148" t="n">
        <f aca="false">D41/B41</f>
        <v>548.305489540984</v>
      </c>
      <c r="F41" s="148" t="n">
        <f aca="false">22/(15+22+24)*Y41</f>
        <v>24125.4415398033</v>
      </c>
      <c r="G41" s="148" t="n">
        <f aca="false">F41/B41</f>
        <v>804.181384660109</v>
      </c>
      <c r="H41" s="148" t="n">
        <f aca="false">24/(15+22+24)*Y41</f>
        <v>26318.6634979672</v>
      </c>
      <c r="I41" s="148" t="n">
        <f aca="false">H41/B41</f>
        <v>877.288783265574</v>
      </c>
      <c r="J41" s="148" t="n">
        <f aca="false">5000*B41</f>
        <v>150000</v>
      </c>
      <c r="K41" s="148"/>
      <c r="L41" s="148" t="n">
        <f aca="false">S41-J41-C41+AB41</f>
        <v>1561847.1</v>
      </c>
      <c r="M41" s="148" t="n">
        <f aca="false">L41/B41</f>
        <v>52061.57</v>
      </c>
      <c r="N41" s="149"/>
      <c r="O41" s="149"/>
      <c r="P41" s="44" t="n">
        <f aca="false">S41+Y41+AB41+V41</f>
        <v>1795580.369724</v>
      </c>
      <c r="Q41" s="148" t="n">
        <f aca="false">P41/B41</f>
        <v>59852.6789908</v>
      </c>
      <c r="R41" s="12"/>
      <c r="S41" s="148" t="n">
        <v>1711847.1</v>
      </c>
      <c r="T41" s="150" t="n">
        <v>0.709</v>
      </c>
      <c r="U41" s="148"/>
      <c r="V41" s="148" t="n">
        <v>16840</v>
      </c>
      <c r="W41" s="150" t="n">
        <v>0.679</v>
      </c>
      <c r="X41" s="148"/>
      <c r="Y41" s="151" t="n">
        <v>66893.269724</v>
      </c>
      <c r="Z41" s="152" t="n">
        <v>0.54</v>
      </c>
      <c r="AA41" s="156"/>
      <c r="AB41" s="148"/>
      <c r="AC41" s="153"/>
      <c r="AD41" s="148"/>
      <c r="AE41" s="148"/>
      <c r="AF41" s="148"/>
      <c r="AG41" s="154"/>
      <c r="AH41" s="12"/>
      <c r="AI41" s="12"/>
      <c r="AJ41" s="12"/>
    </row>
    <row r="42" customFormat="false" ht="12.75" hidden="false" customHeight="false" outlineLevel="0" collapsed="false">
      <c r="A42" s="146" t="n">
        <v>37438</v>
      </c>
      <c r="B42" s="147" t="n">
        <v>31</v>
      </c>
      <c r="C42" s="148"/>
      <c r="D42" s="148" t="n">
        <f aca="false">15/(15+22+24)*Y42</f>
        <v>17976.4650280328</v>
      </c>
      <c r="E42" s="148" t="n">
        <f aca="false">D42/B42</f>
        <v>579.885968646219</v>
      </c>
      <c r="F42" s="148" t="n">
        <f aca="false">22/(15+22+24)*Y42</f>
        <v>26365.4820411148</v>
      </c>
      <c r="G42" s="148" t="n">
        <f aca="false">F42/B42</f>
        <v>850.499420681121</v>
      </c>
      <c r="H42" s="148" t="n">
        <f aca="false">24/(15+22+24)*Y42</f>
        <v>28762.3440448525</v>
      </c>
      <c r="I42" s="148" t="n">
        <f aca="false">H42/B42</f>
        <v>927.81754983395</v>
      </c>
      <c r="J42" s="148" t="n">
        <f aca="false">5000*B42</f>
        <v>155000</v>
      </c>
      <c r="K42" s="148"/>
      <c r="L42" s="148" t="n">
        <f aca="false">S42-J42-C42+AB42</f>
        <v>1632210.9</v>
      </c>
      <c r="M42" s="148" t="n">
        <f aca="false">L42/B42</f>
        <v>52651.964516129</v>
      </c>
      <c r="N42" s="149"/>
      <c r="O42" s="149"/>
      <c r="P42" s="44" t="n">
        <f aca="false">S42+Y42+AB42+V42</f>
        <v>1877722.191114</v>
      </c>
      <c r="Q42" s="148" t="n">
        <f aca="false">P42/B42</f>
        <v>60571.6835843226</v>
      </c>
      <c r="R42" s="12"/>
      <c r="S42" s="148" t="n">
        <v>1787210.9</v>
      </c>
      <c r="T42" s="150" t="n">
        <v>0.709</v>
      </c>
      <c r="U42" s="148"/>
      <c r="V42" s="148" t="n">
        <v>17407</v>
      </c>
      <c r="W42" s="150" t="n">
        <v>0.679</v>
      </c>
      <c r="X42" s="148"/>
      <c r="Y42" s="151" t="n">
        <v>73104.291114</v>
      </c>
      <c r="Z42" s="152" t="n">
        <v>0.54</v>
      </c>
      <c r="AA42" s="156"/>
      <c r="AB42" s="148"/>
      <c r="AC42" s="153"/>
      <c r="AD42" s="148"/>
      <c r="AE42" s="148"/>
      <c r="AF42" s="148"/>
      <c r="AG42" s="154"/>
      <c r="AH42" s="12"/>
      <c r="AI42" s="12"/>
      <c r="AJ42" s="12"/>
    </row>
    <row r="43" customFormat="false" ht="12.75" hidden="false" customHeight="false" outlineLevel="0" collapsed="false">
      <c r="A43" s="146" t="n">
        <v>37469</v>
      </c>
      <c r="B43" s="147" t="n">
        <v>31</v>
      </c>
      <c r="C43" s="148"/>
      <c r="D43" s="148" t="n">
        <f aca="false">15/(15+22+24)*Y43</f>
        <v>17214.6363405738</v>
      </c>
      <c r="E43" s="148" t="n">
        <f aca="false">D43/B43</f>
        <v>555.310849695928</v>
      </c>
      <c r="F43" s="148" t="n">
        <f aca="false">22/(15+22+24)*Y43</f>
        <v>25248.1332995082</v>
      </c>
      <c r="G43" s="148" t="n">
        <f aca="false">F43/B43</f>
        <v>814.455912887361</v>
      </c>
      <c r="H43" s="148" t="n">
        <f aca="false">24/(15+22+24)*Y43</f>
        <v>27543.418144918</v>
      </c>
      <c r="I43" s="148" t="n">
        <f aca="false">H43/B43</f>
        <v>888.497359513485</v>
      </c>
      <c r="J43" s="148" t="n">
        <f aca="false">5000*B43</f>
        <v>155000</v>
      </c>
      <c r="K43" s="148"/>
      <c r="L43" s="148" t="n">
        <f aca="false">S43-J43-C43+AB43</f>
        <v>2053816.7</v>
      </c>
      <c r="M43" s="148" t="n">
        <f aca="false">L43/B43</f>
        <v>66252.1516129032</v>
      </c>
      <c r="N43" s="149"/>
      <c r="O43" s="149"/>
      <c r="P43" s="44" t="n">
        <f aca="false">S43+Y43+AB43+V43</f>
        <v>2300628.887785</v>
      </c>
      <c r="Q43" s="148" t="n">
        <f aca="false">P43/B43</f>
        <v>74213.8350898387</v>
      </c>
      <c r="R43" s="12"/>
      <c r="S43" s="148" t="n">
        <v>2208816.7</v>
      </c>
      <c r="T43" s="150" t="n">
        <v>0.709</v>
      </c>
      <c r="U43" s="148"/>
      <c r="V43" s="148" t="n">
        <v>21806</v>
      </c>
      <c r="W43" s="150" t="n">
        <v>0.679</v>
      </c>
      <c r="X43" s="148"/>
      <c r="Y43" s="151" t="n">
        <v>70006.187785</v>
      </c>
      <c r="Z43" s="152" t="n">
        <v>0.54</v>
      </c>
      <c r="AA43" s="156"/>
      <c r="AB43" s="148"/>
      <c r="AC43" s="153"/>
      <c r="AD43" s="148"/>
      <c r="AE43" s="148"/>
      <c r="AF43" s="148"/>
      <c r="AG43" s="154"/>
      <c r="AH43" s="12"/>
      <c r="AI43" s="12"/>
      <c r="AJ43" s="12"/>
    </row>
    <row r="44" customFormat="false" ht="12.75" hidden="false" customHeight="false" outlineLevel="0" collapsed="false">
      <c r="A44" s="146" t="n">
        <v>37500</v>
      </c>
      <c r="B44" s="147" t="n">
        <v>30</v>
      </c>
      <c r="C44" s="148"/>
      <c r="D44" s="148" t="n">
        <f aca="false">15/(15+22+24)*Y44</f>
        <v>15168.6223138525</v>
      </c>
      <c r="E44" s="148" t="n">
        <f aca="false">D44/B44</f>
        <v>505.620743795082</v>
      </c>
      <c r="F44" s="148" t="n">
        <f aca="false">22/(15+22+24)*Y44</f>
        <v>22247.3127269836</v>
      </c>
      <c r="G44" s="148" t="n">
        <f aca="false">F44/B44</f>
        <v>741.577090899454</v>
      </c>
      <c r="H44" s="148" t="n">
        <f aca="false">24/(15+22+24)*Y44</f>
        <v>24269.7957021639</v>
      </c>
      <c r="I44" s="148" t="n">
        <f aca="false">H44/B44</f>
        <v>808.993190072131</v>
      </c>
      <c r="J44" s="148" t="n">
        <f aca="false">5000*B44</f>
        <v>150000</v>
      </c>
      <c r="K44" s="148"/>
      <c r="L44" s="148" t="n">
        <f aca="false">S44-J44-C44+AB44</f>
        <v>1773205.4</v>
      </c>
      <c r="M44" s="148" t="n">
        <f aca="false">L44/B44</f>
        <v>59106.8466666667</v>
      </c>
      <c r="N44" s="149"/>
      <c r="O44" s="149"/>
      <c r="P44" s="44" t="n">
        <f aca="false">S44+Y44+AB44+V44</f>
        <v>2003812.130743</v>
      </c>
      <c r="Q44" s="148" t="n">
        <f aca="false">P44/B44</f>
        <v>66793.7376914333</v>
      </c>
      <c r="R44" s="12"/>
      <c r="S44" s="148" t="n">
        <v>1923205.4</v>
      </c>
      <c r="T44" s="150" t="n">
        <v>0.709</v>
      </c>
      <c r="U44" s="148"/>
      <c r="V44" s="148" t="n">
        <v>18921</v>
      </c>
      <c r="W44" s="150" t="n">
        <v>0.679</v>
      </c>
      <c r="X44" s="148"/>
      <c r="Y44" s="151" t="n">
        <v>61685.730743</v>
      </c>
      <c r="Z44" s="152" t="n">
        <v>0.54</v>
      </c>
      <c r="AA44" s="156"/>
      <c r="AB44" s="148"/>
      <c r="AC44" s="153"/>
      <c r="AD44" s="148"/>
      <c r="AE44" s="148"/>
      <c r="AF44" s="148"/>
      <c r="AG44" s="154"/>
      <c r="AH44" s="12"/>
      <c r="AI44" s="12"/>
      <c r="AJ44" s="12"/>
    </row>
    <row r="45" customFormat="false" ht="12.75" hidden="false" customHeight="false" outlineLevel="0" collapsed="false">
      <c r="A45" s="146" t="n">
        <v>37530</v>
      </c>
      <c r="B45" s="147" t="n">
        <v>31</v>
      </c>
      <c r="C45" s="148"/>
      <c r="D45" s="148" t="n">
        <f aca="false">15/(15+22+24)*Y45</f>
        <v>30427.3156313115</v>
      </c>
      <c r="E45" s="148" t="n">
        <f aca="false">D45/B45</f>
        <v>981.526310687467</v>
      </c>
      <c r="F45" s="148" t="n">
        <f aca="false">22/(15+22+24)*Y45</f>
        <v>44626.7295925902</v>
      </c>
      <c r="G45" s="148" t="n">
        <f aca="false">F45/B45</f>
        <v>1439.57192234162</v>
      </c>
      <c r="H45" s="148" t="n">
        <f aca="false">24/(15+22+24)*Y45</f>
        <v>48683.7050100984</v>
      </c>
      <c r="I45" s="148" t="n">
        <f aca="false">H45/B45</f>
        <v>1570.44209709995</v>
      </c>
      <c r="J45" s="148" t="n">
        <f aca="false">5000*B45</f>
        <v>155000</v>
      </c>
      <c r="K45" s="148"/>
      <c r="L45" s="148" t="n">
        <f aca="false">S45-J45-C45+AB45</f>
        <v>2291052.7</v>
      </c>
      <c r="M45" s="148" t="n">
        <f aca="false">L45/B45</f>
        <v>73904.9258064516</v>
      </c>
      <c r="N45" s="149"/>
      <c r="O45" s="149"/>
      <c r="P45" s="44" t="n">
        <f aca="false">S45+Y45+AB45+V45</f>
        <v>2593820.450234</v>
      </c>
      <c r="Q45" s="148" t="n">
        <f aca="false">P45/B45</f>
        <v>83671.6274269032</v>
      </c>
      <c r="R45" s="12"/>
      <c r="S45" s="148" t="n">
        <v>2446052.7</v>
      </c>
      <c r="T45" s="150" t="n">
        <v>0.709</v>
      </c>
      <c r="U45" s="148"/>
      <c r="V45" s="148" t="n">
        <v>24030</v>
      </c>
      <c r="W45" s="150" t="n">
        <v>0.679</v>
      </c>
      <c r="X45" s="148"/>
      <c r="Y45" s="151" t="n">
        <v>123737.750234</v>
      </c>
      <c r="Z45" s="152" t="n">
        <v>0.54</v>
      </c>
      <c r="AA45" s="156"/>
      <c r="AB45" s="148"/>
      <c r="AC45" s="153"/>
      <c r="AD45" s="148"/>
      <c r="AE45" s="148"/>
      <c r="AF45" s="148"/>
      <c r="AG45" s="154"/>
      <c r="AH45" s="12"/>
      <c r="AI45" s="12"/>
      <c r="AJ45" s="12"/>
    </row>
    <row r="46" customFormat="false" ht="12.75" hidden="false" customHeight="false" outlineLevel="0" collapsed="false">
      <c r="A46" s="146" t="n">
        <v>37561</v>
      </c>
      <c r="B46" s="147" t="n">
        <v>30</v>
      </c>
      <c r="C46" s="148"/>
      <c r="D46" s="148" t="n">
        <f aca="false">15/(15+22+24)*Y46</f>
        <v>56764.548037623</v>
      </c>
      <c r="E46" s="148" t="n">
        <f aca="false">D46/B46</f>
        <v>1892.1516012541</v>
      </c>
      <c r="F46" s="148" t="n">
        <f aca="false">22/(15+22+24)*Y46</f>
        <v>83254.6704551803</v>
      </c>
      <c r="G46" s="148" t="n">
        <f aca="false">F46/B46</f>
        <v>2775.15568183934</v>
      </c>
      <c r="H46" s="148" t="n">
        <f aca="false">24/(15+22+24)*Y46</f>
        <v>90823.2768601967</v>
      </c>
      <c r="I46" s="148" t="n">
        <f aca="false">H46/B46</f>
        <v>3027.44256200656</v>
      </c>
      <c r="J46" s="148" t="n">
        <f aca="false">5000*B46</f>
        <v>150000</v>
      </c>
      <c r="K46" s="148"/>
      <c r="L46" s="148" t="n">
        <f aca="false">S46-J46-C46+AB46</f>
        <v>4253296.9</v>
      </c>
      <c r="M46" s="148" t="n">
        <f aca="false">L46/B46</f>
        <v>141776.563333333</v>
      </c>
      <c r="N46" s="149"/>
      <c r="O46" s="149"/>
      <c r="P46" s="44" t="n">
        <f aca="false">S46+Y46+AB46+V46</f>
        <v>4678035.395353</v>
      </c>
      <c r="Q46" s="148" t="n">
        <f aca="false">P46/B46</f>
        <v>155934.513178433</v>
      </c>
      <c r="R46" s="12"/>
      <c r="S46" s="148" t="n">
        <v>4403296.9</v>
      </c>
      <c r="T46" s="150" t="n">
        <v>0.689</v>
      </c>
      <c r="U46" s="148"/>
      <c r="V46" s="148" t="n">
        <v>43896</v>
      </c>
      <c r="W46" s="150" t="n">
        <v>0.679</v>
      </c>
      <c r="X46" s="148"/>
      <c r="Y46" s="151" t="n">
        <v>230842.495353</v>
      </c>
      <c r="Z46" s="152" t="n">
        <v>0.52</v>
      </c>
      <c r="AA46" s="156"/>
      <c r="AB46" s="148"/>
      <c r="AC46" s="153"/>
      <c r="AD46" s="148"/>
      <c r="AE46" s="148"/>
      <c r="AF46" s="148"/>
      <c r="AG46" s="154"/>
      <c r="AH46" s="12"/>
      <c r="AI46" s="12"/>
      <c r="AJ46" s="12"/>
      <c r="AK46" s="130" t="n">
        <f aca="false">468000+260000+100000</f>
        <v>828000</v>
      </c>
    </row>
    <row r="47" customFormat="false" ht="12.75" hidden="false" customHeight="false" outlineLevel="0" collapsed="false">
      <c r="A47" s="146" t="n">
        <v>37591</v>
      </c>
      <c r="B47" s="147" t="n">
        <v>31</v>
      </c>
      <c r="C47" s="148"/>
      <c r="D47" s="148" t="n">
        <f aca="false">15/(15+22+24)*Y47</f>
        <v>78877.3681541803</v>
      </c>
      <c r="E47" s="148" t="n">
        <f aca="false">D47/B47</f>
        <v>2544.43123078001</v>
      </c>
      <c r="F47" s="148" t="n">
        <f aca="false">22/(15+22+24)*Y47</f>
        <v>115686.806626131</v>
      </c>
      <c r="G47" s="148" t="n">
        <f aca="false">F47/B47</f>
        <v>3731.83247181068</v>
      </c>
      <c r="H47" s="148" t="n">
        <f aca="false">24/(15+22+24)*Y47</f>
        <v>126203.789046689</v>
      </c>
      <c r="I47" s="148" t="n">
        <f aca="false">H47/B47</f>
        <v>4071.08996924802</v>
      </c>
      <c r="J47" s="148" t="n">
        <f aca="false">5000*B47</f>
        <v>155000</v>
      </c>
      <c r="K47" s="148"/>
      <c r="L47" s="148" t="n">
        <f aca="false">S47-J47-C47+AB47</f>
        <v>7216962.7</v>
      </c>
      <c r="M47" s="148" t="n">
        <f aca="false">L47/B47</f>
        <v>232805.248387097</v>
      </c>
      <c r="N47" s="149"/>
      <c r="O47" s="149"/>
      <c r="P47" s="44" t="n">
        <f aca="false">S47+Y47+AB47+V47</f>
        <v>7767373.663827</v>
      </c>
      <c r="Q47" s="148" t="n">
        <f aca="false">P47/B47</f>
        <v>250560.440768613</v>
      </c>
      <c r="R47" s="12"/>
      <c r="S47" s="148" t="n">
        <v>7371962.7</v>
      </c>
      <c r="T47" s="150" t="n">
        <v>0.6853</v>
      </c>
      <c r="U47" s="148"/>
      <c r="V47" s="148" t="n">
        <v>74643</v>
      </c>
      <c r="W47" s="150" t="n">
        <v>0.679</v>
      </c>
      <c r="X47" s="148"/>
      <c r="Y47" s="151" t="n">
        <v>320767.963827</v>
      </c>
      <c r="Z47" s="152" t="n">
        <v>0.5163</v>
      </c>
      <c r="AA47" s="156"/>
      <c r="AB47" s="148"/>
      <c r="AC47" s="153"/>
      <c r="AD47" s="148"/>
      <c r="AE47" s="148"/>
      <c r="AF47" s="148"/>
      <c r="AG47" s="154"/>
      <c r="AH47" s="12"/>
      <c r="AI47" s="12"/>
      <c r="AJ47" s="12"/>
      <c r="AK47" s="130" t="n">
        <f aca="false">468000+260000+100000</f>
        <v>828000</v>
      </c>
    </row>
    <row r="48" customFormat="false" ht="12.75" hidden="false" customHeight="false" outlineLevel="0" collapsed="false">
      <c r="A48" s="146" t="n">
        <v>37622</v>
      </c>
      <c r="B48" s="147" t="n">
        <v>31</v>
      </c>
      <c r="C48" s="148"/>
      <c r="D48" s="148" t="n">
        <f aca="false">15/(15+22+24)*Y48</f>
        <v>104023.970974672</v>
      </c>
      <c r="E48" s="148" t="n">
        <f aca="false">D48/B48</f>
        <v>3355.61196692491</v>
      </c>
      <c r="F48" s="148" t="n">
        <f aca="false">22/(15+22+24)*Y48</f>
        <v>152568.490762852</v>
      </c>
      <c r="G48" s="148" t="n">
        <f aca="false">F48/B48</f>
        <v>4921.56421815653</v>
      </c>
      <c r="H48" s="148" t="n">
        <f aca="false">24/(15+22+24)*Y48</f>
        <v>166438.353559475</v>
      </c>
      <c r="I48" s="148" t="n">
        <f aca="false">H48/B48</f>
        <v>5368.97914707985</v>
      </c>
      <c r="J48" s="148" t="n">
        <f aca="false">5000*B48</f>
        <v>155000</v>
      </c>
      <c r="K48" s="148"/>
      <c r="L48" s="148" t="n">
        <f aca="false">S48-J48-C48+AB48</f>
        <v>8816678.8</v>
      </c>
      <c r="M48" s="148" t="n">
        <f aca="false">L48/B48</f>
        <v>284408.993548387</v>
      </c>
      <c r="N48" s="149"/>
      <c r="O48" s="149"/>
      <c r="P48" s="44" t="n">
        <f aca="false">S48+Y48+AB48+V48</f>
        <v>9487691.615297</v>
      </c>
      <c r="Q48" s="148" t="n">
        <f aca="false">P48/B48</f>
        <v>306054.568235387</v>
      </c>
      <c r="R48" s="12"/>
      <c r="S48" s="148" t="n">
        <v>8971678.8</v>
      </c>
      <c r="T48" s="150" t="n">
        <v>0.6906</v>
      </c>
      <c r="U48" s="148"/>
      <c r="V48" s="148" t="n">
        <v>92982</v>
      </c>
      <c r="W48" s="150" t="n">
        <v>0.679</v>
      </c>
      <c r="X48" s="148"/>
      <c r="Y48" s="151" t="n">
        <v>423030.815297</v>
      </c>
      <c r="Z48" s="152" t="n">
        <v>0.5216</v>
      </c>
      <c r="AA48" s="156"/>
      <c r="AB48" s="148"/>
      <c r="AC48" s="153"/>
      <c r="AD48" s="148"/>
      <c r="AE48" s="148"/>
      <c r="AF48" s="148"/>
      <c r="AG48" s="154"/>
      <c r="AH48" s="12"/>
      <c r="AI48" s="12"/>
      <c r="AJ48" s="12"/>
      <c r="AK48" s="130" t="n">
        <f aca="false">468000+260000+100000</f>
        <v>828000</v>
      </c>
    </row>
    <row r="49" customFormat="false" ht="12.75" hidden="false" customHeight="false" outlineLevel="0" collapsed="false">
      <c r="A49" s="146" t="n">
        <v>37653</v>
      </c>
      <c r="B49" s="147" t="n">
        <v>28</v>
      </c>
      <c r="C49" s="148"/>
      <c r="D49" s="148" t="n">
        <f aca="false">15/(15+22+24)*Y49</f>
        <v>68719.5080291803</v>
      </c>
      <c r="E49" s="148" t="n">
        <f aca="false">D49/B49</f>
        <v>2454.2681438993</v>
      </c>
      <c r="F49" s="148" t="n">
        <f aca="false">22/(15+22+24)*Y49</f>
        <v>100788.611776131</v>
      </c>
      <c r="G49" s="148" t="n">
        <f aca="false">F49/B49</f>
        <v>3599.59327771897</v>
      </c>
      <c r="H49" s="148" t="n">
        <f aca="false">24/(15+22+24)*Y49</f>
        <v>109951.212846689</v>
      </c>
      <c r="I49" s="148" t="n">
        <f aca="false">H49/B49</f>
        <v>3926.82903023888</v>
      </c>
      <c r="J49" s="148" t="n">
        <f aca="false">5000*B49</f>
        <v>140000</v>
      </c>
      <c r="K49" s="148"/>
      <c r="L49" s="148" t="n">
        <f aca="false">S49-J49-C49+AB49</f>
        <v>6185809.1</v>
      </c>
      <c r="M49" s="148" t="n">
        <f aca="false">L49/B49</f>
        <v>220921.753571429</v>
      </c>
      <c r="N49" s="149"/>
      <c r="O49" s="149"/>
      <c r="P49" s="44" t="n">
        <f aca="false">S49+Y49+AB49+V49</f>
        <v>6670625.432652</v>
      </c>
      <c r="Q49" s="148" t="n">
        <f aca="false">P49/B49</f>
        <v>238236.622594714</v>
      </c>
      <c r="R49" s="12"/>
      <c r="S49" s="148" t="n">
        <v>6325809.1</v>
      </c>
      <c r="T49" s="150" t="n">
        <v>0.6948</v>
      </c>
      <c r="U49" s="148"/>
      <c r="V49" s="148" t="n">
        <v>65357</v>
      </c>
      <c r="W49" s="150" t="n">
        <v>0.679</v>
      </c>
      <c r="X49" s="148"/>
      <c r="Y49" s="151" t="n">
        <v>279459.332652</v>
      </c>
      <c r="Z49" s="152" t="n">
        <v>0.5258</v>
      </c>
      <c r="AA49" s="156"/>
      <c r="AB49" s="148"/>
      <c r="AC49" s="153"/>
      <c r="AD49" s="148"/>
      <c r="AE49" s="148"/>
      <c r="AF49" s="148"/>
      <c r="AG49" s="154"/>
      <c r="AH49" s="12"/>
      <c r="AI49" s="12"/>
      <c r="AJ49" s="12"/>
      <c r="AK49" s="130" t="n">
        <f aca="false">468000+260000+100000</f>
        <v>828000</v>
      </c>
    </row>
    <row r="50" customFormat="false" ht="12.75" hidden="false" customHeight="false" outlineLevel="0" collapsed="false">
      <c r="A50" s="146" t="n">
        <v>37681</v>
      </c>
      <c r="B50" s="147" t="n">
        <v>31</v>
      </c>
      <c r="C50" s="148"/>
      <c r="D50" s="148" t="n">
        <f aca="false">15/(15+22+24)*Y50</f>
        <v>59294.8732064754</v>
      </c>
      <c r="E50" s="148" t="n">
        <f aca="false">D50/B50</f>
        <v>1912.73784537017</v>
      </c>
      <c r="F50" s="148" t="n">
        <f aca="false">22/(15+22+24)*Y50</f>
        <v>86965.8140361639</v>
      </c>
      <c r="G50" s="148" t="n">
        <f aca="false">F50/B50</f>
        <v>2805.34883987626</v>
      </c>
      <c r="H50" s="148" t="n">
        <f aca="false">24/(15+22+24)*Y50</f>
        <v>94871.7971303607</v>
      </c>
      <c r="I50" s="148" t="n">
        <f aca="false">H50/B50</f>
        <v>3060.38055259228</v>
      </c>
      <c r="J50" s="148" t="n">
        <f aca="false">5000*B50</f>
        <v>155000</v>
      </c>
      <c r="K50" s="148"/>
      <c r="L50" s="148" t="n">
        <f aca="false">S50-J50-C50+AB50</f>
        <v>5109235.9</v>
      </c>
      <c r="M50" s="148" t="n">
        <f aca="false">L50/B50</f>
        <v>164814.061290323</v>
      </c>
      <c r="N50" s="149"/>
      <c r="O50" s="149"/>
      <c r="P50" s="44" t="n">
        <f aca="false">S50+Y50+AB50+V50</f>
        <v>5559734.384373</v>
      </c>
      <c r="Q50" s="148" t="n">
        <f aca="false">P50/B50</f>
        <v>179346.270463645</v>
      </c>
      <c r="R50" s="12"/>
      <c r="S50" s="148" t="n">
        <v>5264235.9</v>
      </c>
      <c r="T50" s="150" t="n">
        <v>0.6972</v>
      </c>
      <c r="U50" s="148"/>
      <c r="V50" s="148" t="n">
        <v>54366</v>
      </c>
      <c r="W50" s="150" t="n">
        <v>0.679</v>
      </c>
      <c r="X50" s="148"/>
      <c r="Y50" s="151" t="n">
        <v>241132.484373</v>
      </c>
      <c r="Z50" s="152" t="n">
        <v>0.5282</v>
      </c>
      <c r="AA50" s="156"/>
      <c r="AB50" s="148"/>
      <c r="AC50" s="153"/>
      <c r="AD50" s="148"/>
      <c r="AE50" s="148"/>
      <c r="AF50" s="148"/>
      <c r="AG50" s="154"/>
      <c r="AH50" s="12"/>
      <c r="AI50" s="12"/>
      <c r="AJ50" s="12"/>
      <c r="AK50" s="130" t="n">
        <f aca="false">468000+260000+100000</f>
        <v>828000</v>
      </c>
    </row>
    <row r="51" customFormat="false" ht="12.75" hidden="false" customHeight="false" outlineLevel="0" collapsed="false">
      <c r="A51" s="146" t="n">
        <v>37712</v>
      </c>
      <c r="B51" s="147" t="n">
        <v>30</v>
      </c>
      <c r="C51" s="148"/>
      <c r="D51" s="148" t="n">
        <f aca="false">15/(15+22+24)*Y51</f>
        <v>33928.4621832787</v>
      </c>
      <c r="E51" s="148" t="n">
        <f aca="false">D51/B51</f>
        <v>1130.94873944262</v>
      </c>
      <c r="F51" s="148" t="n">
        <f aca="false">22/(15+22+24)*Y51</f>
        <v>49761.7445354754</v>
      </c>
      <c r="G51" s="148" t="n">
        <f aca="false">F51/B51</f>
        <v>1658.72481784918</v>
      </c>
      <c r="H51" s="148" t="n">
        <f aca="false">24/(15+22+24)*Y51</f>
        <v>54285.5394932459</v>
      </c>
      <c r="I51" s="148" t="n">
        <f aca="false">H51/B51</f>
        <v>1809.5179831082</v>
      </c>
      <c r="J51" s="148" t="n">
        <f aca="false">5000*B51</f>
        <v>150000</v>
      </c>
      <c r="K51" s="148"/>
      <c r="L51" s="148" t="n">
        <f aca="false">S51-J51-C51+AB51</f>
        <v>2729163.2</v>
      </c>
      <c r="M51" s="148" t="n">
        <f aca="false">L51/B51</f>
        <v>90972.1066666667</v>
      </c>
      <c r="N51" s="149"/>
      <c r="O51" s="149"/>
      <c r="P51" s="44" t="n">
        <f aca="false">S51+Y51+AB51+V51</f>
        <v>3046333.946212</v>
      </c>
      <c r="Q51" s="148" t="n">
        <f aca="false">P51/B51</f>
        <v>101544.464873733</v>
      </c>
      <c r="R51" s="12"/>
      <c r="S51" s="148" t="n">
        <v>2879163.2</v>
      </c>
      <c r="T51" s="150" t="n">
        <v>0.709</v>
      </c>
      <c r="U51" s="148"/>
      <c r="V51" s="148" t="n">
        <v>29195</v>
      </c>
      <c r="W51" s="150" t="n">
        <v>0.679</v>
      </c>
      <c r="X51" s="148"/>
      <c r="Y51" s="151" t="n">
        <v>137975.746212</v>
      </c>
      <c r="Z51" s="152" t="n">
        <v>0.54</v>
      </c>
      <c r="AA51" s="156"/>
      <c r="AB51" s="148"/>
      <c r="AC51" s="153"/>
      <c r="AD51" s="148"/>
      <c r="AE51" s="148"/>
      <c r="AF51" s="148"/>
      <c r="AG51" s="154"/>
      <c r="AH51" s="12"/>
      <c r="AI51" s="12"/>
      <c r="AJ51" s="12"/>
    </row>
    <row r="52" customFormat="false" ht="12.75" hidden="false" customHeight="false" outlineLevel="0" collapsed="false">
      <c r="A52" s="146" t="n">
        <v>37742</v>
      </c>
      <c r="B52" s="147" t="n">
        <v>31</v>
      </c>
      <c r="C52" s="148"/>
      <c r="D52" s="148" t="n">
        <f aca="false">15/(15+22+24)*Y52</f>
        <v>23045.3956504918</v>
      </c>
      <c r="E52" s="148" t="n">
        <f aca="false">D52/B52</f>
        <v>743.399859693284</v>
      </c>
      <c r="F52" s="148" t="n">
        <f aca="false">22/(15+22+24)*Y52</f>
        <v>33799.9136207213</v>
      </c>
      <c r="G52" s="148" t="n">
        <f aca="false">F52/B52</f>
        <v>1090.31979421682</v>
      </c>
      <c r="H52" s="148" t="n">
        <f aca="false">24/(15+22+24)*Y52</f>
        <v>36872.6330407869</v>
      </c>
      <c r="I52" s="148" t="n">
        <f aca="false">H52/B52</f>
        <v>1189.43977550925</v>
      </c>
      <c r="J52" s="148" t="n">
        <f aca="false">5000*B52</f>
        <v>155000</v>
      </c>
      <c r="K52" s="148"/>
      <c r="L52" s="148" t="n">
        <f aca="false">S52-J52-C52+AB52</f>
        <v>2120585.7</v>
      </c>
      <c r="M52" s="148" t="n">
        <f aca="false">L52/B52</f>
        <v>68405.9903225807</v>
      </c>
      <c r="N52" s="149"/>
      <c r="O52" s="149"/>
      <c r="P52" s="44" t="n">
        <f aca="false">S52+Y52+AB52+V52</f>
        <v>2392414.642312</v>
      </c>
      <c r="Q52" s="148" t="n">
        <f aca="false">P52/B52</f>
        <v>77174.6658810323</v>
      </c>
      <c r="R52" s="12"/>
      <c r="S52" s="148" t="n">
        <v>2275585.7</v>
      </c>
      <c r="T52" s="150" t="n">
        <v>0.709</v>
      </c>
      <c r="U52" s="148"/>
      <c r="V52" s="148" t="n">
        <v>23111</v>
      </c>
      <c r="W52" s="150" t="n">
        <v>0.679</v>
      </c>
      <c r="X52" s="148"/>
      <c r="Y52" s="151" t="n">
        <v>93717.942312</v>
      </c>
      <c r="Z52" s="152" t="n">
        <v>0.54</v>
      </c>
      <c r="AA52" s="156"/>
      <c r="AB52" s="148"/>
      <c r="AC52" s="153"/>
      <c r="AD52" s="148"/>
      <c r="AE52" s="148"/>
      <c r="AF52" s="148"/>
      <c r="AG52" s="154"/>
      <c r="AH52" s="12"/>
      <c r="AI52" s="12"/>
      <c r="AJ52" s="12"/>
    </row>
    <row r="53" customFormat="false" ht="12.75" hidden="false" customHeight="false" outlineLevel="0" collapsed="false">
      <c r="A53" s="146" t="n">
        <v>37773</v>
      </c>
      <c r="B53" s="147" t="n">
        <v>30</v>
      </c>
      <c r="C53" s="148"/>
      <c r="D53" s="148" t="n">
        <f aca="false">15/(15+22+24)*Y53</f>
        <v>16613.6563330328</v>
      </c>
      <c r="E53" s="148" t="n">
        <f aca="false">D53/B53</f>
        <v>553.788544434426</v>
      </c>
      <c r="F53" s="148" t="n">
        <f aca="false">22/(15+22+24)*Y53</f>
        <v>24366.6959551148</v>
      </c>
      <c r="G53" s="148" t="n">
        <f aca="false">F53/B53</f>
        <v>812.223198503825</v>
      </c>
      <c r="H53" s="148" t="n">
        <f aca="false">24/(15+22+24)*Y53</f>
        <v>26581.8501328525</v>
      </c>
      <c r="I53" s="148" t="n">
        <f aca="false">H53/B53</f>
        <v>886.061671095082</v>
      </c>
      <c r="J53" s="148" t="n">
        <f aca="false">5000*B53</f>
        <v>150000</v>
      </c>
      <c r="K53" s="148"/>
      <c r="L53" s="148" t="n">
        <f aca="false">S53-J53-C53+AB53</f>
        <v>1578920.4</v>
      </c>
      <c r="M53" s="148" t="n">
        <f aca="false">L53/B53</f>
        <v>52630.68</v>
      </c>
      <c r="N53" s="149"/>
      <c r="O53" s="149"/>
      <c r="P53" s="44" t="n">
        <f aca="false">S53+Y53+AB53+V53</f>
        <v>1813950.602421</v>
      </c>
      <c r="Q53" s="148" t="n">
        <f aca="false">P53/B53</f>
        <v>60465.0200807</v>
      </c>
      <c r="R53" s="12"/>
      <c r="S53" s="148" t="n">
        <v>1728920.4</v>
      </c>
      <c r="T53" s="150" t="n">
        <v>0.709</v>
      </c>
      <c r="U53" s="148"/>
      <c r="V53" s="148" t="n">
        <v>17468</v>
      </c>
      <c r="W53" s="150" t="n">
        <v>0.679</v>
      </c>
      <c r="X53" s="148"/>
      <c r="Y53" s="151" t="n">
        <v>67562.202421</v>
      </c>
      <c r="Z53" s="152" t="n">
        <v>0.54</v>
      </c>
      <c r="AA53" s="156"/>
      <c r="AB53" s="148"/>
      <c r="AC53" s="153"/>
      <c r="AD53" s="148"/>
      <c r="AE53" s="148"/>
      <c r="AF53" s="148"/>
      <c r="AG53" s="154"/>
      <c r="AH53" s="12"/>
      <c r="AI53" s="12"/>
      <c r="AJ53" s="12"/>
    </row>
    <row r="54" customFormat="false" ht="12.75" hidden="false" customHeight="false" outlineLevel="0" collapsed="false">
      <c r="A54" s="146" t="n">
        <v>37803</v>
      </c>
      <c r="B54" s="147" t="n">
        <v>31</v>
      </c>
      <c r="C54" s="148"/>
      <c r="D54" s="148" t="n">
        <f aca="false">15/(15+22+24)*Y54</f>
        <v>18156.2296782787</v>
      </c>
      <c r="E54" s="148" t="n">
        <f aca="false">D54/B54</f>
        <v>585.684828331571</v>
      </c>
      <c r="F54" s="148" t="n">
        <f aca="false">22/(15+22+24)*Y54</f>
        <v>26629.1368614754</v>
      </c>
      <c r="G54" s="148" t="n">
        <f aca="false">F54/B54</f>
        <v>859.004414886304</v>
      </c>
      <c r="H54" s="148" t="n">
        <f aca="false">24/(15+22+24)*Y54</f>
        <v>29049.9674852459</v>
      </c>
      <c r="I54" s="148" t="n">
        <f aca="false">H54/B54</f>
        <v>937.095725330513</v>
      </c>
      <c r="J54" s="148" t="n">
        <f aca="false">5000*B54</f>
        <v>155000</v>
      </c>
      <c r="K54" s="148"/>
      <c r="L54" s="148" t="n">
        <f aca="false">S54-J54-C54+AB54</f>
        <v>1649990.6</v>
      </c>
      <c r="M54" s="148" t="n">
        <f aca="false">L54/B54</f>
        <v>53225.5032258065</v>
      </c>
      <c r="N54" s="149"/>
      <c r="O54" s="149"/>
      <c r="P54" s="44" t="n">
        <f aca="false">S54+Y54+AB54+V54</f>
        <v>1896882.934025</v>
      </c>
      <c r="Q54" s="148" t="n">
        <f aca="false">P54/B54</f>
        <v>61189.7720653226</v>
      </c>
      <c r="R54" s="12"/>
      <c r="S54" s="148" t="n">
        <v>1804990.6</v>
      </c>
      <c r="T54" s="150" t="n">
        <v>0.709</v>
      </c>
      <c r="U54" s="148"/>
      <c r="V54" s="148" t="n">
        <v>18057</v>
      </c>
      <c r="W54" s="150" t="n">
        <v>0.679</v>
      </c>
      <c r="X54" s="148"/>
      <c r="Y54" s="151" t="n">
        <v>73835.334025</v>
      </c>
      <c r="Z54" s="152" t="n">
        <v>0.54</v>
      </c>
      <c r="AA54" s="156"/>
      <c r="AB54" s="148"/>
      <c r="AC54" s="153"/>
      <c r="AD54" s="148"/>
      <c r="AE54" s="148"/>
      <c r="AF54" s="148"/>
      <c r="AG54" s="154"/>
      <c r="AH54" s="12"/>
      <c r="AI54" s="12"/>
      <c r="AJ54" s="12"/>
    </row>
    <row r="55" customFormat="false" ht="12.75" hidden="false" customHeight="false" outlineLevel="0" collapsed="false">
      <c r="A55" s="146" t="n">
        <v>37834</v>
      </c>
      <c r="B55" s="147" t="n">
        <v>31</v>
      </c>
      <c r="C55" s="148"/>
      <c r="D55" s="148" t="n">
        <f aca="false">15/(15+22+24)*Y55</f>
        <v>17386.7827040164</v>
      </c>
      <c r="E55" s="148" t="n">
        <f aca="false">D55/B55</f>
        <v>560.863958194077</v>
      </c>
      <c r="F55" s="148" t="n">
        <f aca="false">22/(15+22+24)*Y55</f>
        <v>25500.6146325574</v>
      </c>
      <c r="G55" s="148" t="n">
        <f aca="false">F55/B55</f>
        <v>822.60047201798</v>
      </c>
      <c r="H55" s="148" t="n">
        <f aca="false">24/(15+22+24)*Y55</f>
        <v>27818.8523264262</v>
      </c>
      <c r="I55" s="148" t="n">
        <f aca="false">H55/B55</f>
        <v>897.382333110523</v>
      </c>
      <c r="J55" s="148" t="n">
        <f aca="false">5000*B55</f>
        <v>155000</v>
      </c>
      <c r="K55" s="148"/>
      <c r="L55" s="148" t="n">
        <f aca="false">S55-J55-C55+AB55</f>
        <v>2075756.4</v>
      </c>
      <c r="M55" s="148" t="n">
        <f aca="false">L55/B55</f>
        <v>66959.8838709677</v>
      </c>
      <c r="N55" s="149"/>
      <c r="O55" s="149"/>
      <c r="P55" s="44" t="n">
        <f aca="false">S55+Y55+AB55+V55</f>
        <v>2324082.649663</v>
      </c>
      <c r="Q55" s="148" t="n">
        <f aca="false">P55/B55</f>
        <v>74970.4080536452</v>
      </c>
      <c r="R55" s="12"/>
      <c r="S55" s="148" t="n">
        <v>2230756.4</v>
      </c>
      <c r="T55" s="150" t="n">
        <v>0.709</v>
      </c>
      <c r="U55" s="148"/>
      <c r="V55" s="148" t="n">
        <v>22620</v>
      </c>
      <c r="W55" s="150" t="n">
        <v>0.679</v>
      </c>
      <c r="X55" s="148"/>
      <c r="Y55" s="151" t="n">
        <v>70706.249663</v>
      </c>
      <c r="Z55" s="152" t="n">
        <v>0.54</v>
      </c>
      <c r="AA55" s="156"/>
      <c r="AB55" s="148"/>
      <c r="AC55" s="153"/>
      <c r="AD55" s="148"/>
      <c r="AE55" s="148"/>
      <c r="AF55" s="148"/>
      <c r="AG55" s="154"/>
      <c r="AH55" s="12"/>
      <c r="AI55" s="12"/>
      <c r="AJ55" s="12"/>
    </row>
    <row r="56" customFormat="false" ht="12.75" hidden="false" customHeight="false" outlineLevel="0" collapsed="false">
      <c r="A56" s="146" t="n">
        <v>37865</v>
      </c>
      <c r="B56" s="147" t="n">
        <v>30</v>
      </c>
      <c r="C56" s="148"/>
      <c r="D56" s="148" t="n">
        <f aca="false">15/(15+22+24)*Y56</f>
        <v>15320.3085368852</v>
      </c>
      <c r="E56" s="148" t="n">
        <f aca="false">D56/B56</f>
        <v>510.676951229508</v>
      </c>
      <c r="F56" s="148" t="n">
        <f aca="false">22/(15+22+24)*Y56</f>
        <v>22469.7858540984</v>
      </c>
      <c r="G56" s="148" t="n">
        <f aca="false">F56/B56</f>
        <v>748.992861803279</v>
      </c>
      <c r="H56" s="148" t="n">
        <f aca="false">24/(15+22+24)*Y56</f>
        <v>24512.4936590164</v>
      </c>
      <c r="I56" s="148" t="n">
        <f aca="false">H56/B56</f>
        <v>817.083121967213</v>
      </c>
      <c r="J56" s="148" t="n">
        <f aca="false">5000*B56</f>
        <v>150000</v>
      </c>
      <c r="K56" s="148"/>
      <c r="L56" s="148" t="n">
        <f aca="false">S56-J56-C56+AB56</f>
        <v>1792363.2</v>
      </c>
      <c r="M56" s="148" t="n">
        <f aca="false">L56/B56</f>
        <v>59745.44</v>
      </c>
      <c r="N56" s="149"/>
      <c r="O56" s="149"/>
      <c r="P56" s="44" t="n">
        <f aca="false">S56+Y56+AB56+V56</f>
        <v>2024292.78805</v>
      </c>
      <c r="Q56" s="148" t="n">
        <f aca="false">P56/B56</f>
        <v>67476.4262683333</v>
      </c>
      <c r="R56" s="12"/>
      <c r="S56" s="148" t="n">
        <v>1942363.2</v>
      </c>
      <c r="T56" s="150" t="n">
        <v>0.709</v>
      </c>
      <c r="U56" s="148"/>
      <c r="V56" s="148" t="n">
        <v>19627</v>
      </c>
      <c r="W56" s="150" t="n">
        <v>0.679</v>
      </c>
      <c r="X56" s="148"/>
      <c r="Y56" s="151" t="n">
        <v>62302.58805</v>
      </c>
      <c r="Z56" s="152" t="n">
        <v>0.54</v>
      </c>
      <c r="AA56" s="156"/>
      <c r="AB56" s="148"/>
      <c r="AC56" s="153"/>
      <c r="AD56" s="148"/>
      <c r="AE56" s="148"/>
      <c r="AF56" s="148"/>
      <c r="AG56" s="154"/>
      <c r="AH56" s="12"/>
      <c r="AI56" s="12"/>
      <c r="AJ56" s="12"/>
    </row>
    <row r="57" customFormat="false" ht="12.75" hidden="false" customHeight="false" outlineLevel="0" collapsed="false">
      <c r="A57" s="146" t="n">
        <v>37895</v>
      </c>
      <c r="B57" s="147" t="n">
        <v>31</v>
      </c>
      <c r="C57" s="148"/>
      <c r="D57" s="148" t="n">
        <f aca="false">15/(15+22+24)*Y57</f>
        <v>30731.588787541</v>
      </c>
      <c r="E57" s="148" t="n">
        <f aca="false">D57/B57</f>
        <v>991.341573791645</v>
      </c>
      <c r="F57" s="148" t="n">
        <f aca="false">22/(15+22+24)*Y57</f>
        <v>45072.9968883934</v>
      </c>
      <c r="G57" s="148" t="n">
        <f aca="false">F57/B57</f>
        <v>1453.96764156108</v>
      </c>
      <c r="H57" s="148" t="n">
        <f aca="false">24/(15+22+24)*Y57</f>
        <v>49170.5420600656</v>
      </c>
      <c r="I57" s="148" t="n">
        <f aca="false">H57/B57</f>
        <v>1586.14651806663</v>
      </c>
      <c r="J57" s="148" t="n">
        <f aca="false">5000*B57</f>
        <v>155000</v>
      </c>
      <c r="K57" s="148"/>
      <c r="L57" s="148" t="n">
        <f aca="false">S57-J57-C57+AB57</f>
        <v>2315460.4</v>
      </c>
      <c r="M57" s="148" t="n">
        <f aca="false">L57/B57</f>
        <v>74692.2709677419</v>
      </c>
      <c r="N57" s="149"/>
      <c r="O57" s="149"/>
      <c r="P57" s="44" t="n">
        <f aca="false">S57+Y57+AB57+V57</f>
        <v>2620361.527736</v>
      </c>
      <c r="Q57" s="148" t="n">
        <f aca="false">P57/B57</f>
        <v>84527.7912172903</v>
      </c>
      <c r="R57" s="12"/>
      <c r="S57" s="148" t="n">
        <v>2470460.4</v>
      </c>
      <c r="T57" s="150" t="n">
        <v>0.709</v>
      </c>
      <c r="U57" s="148"/>
      <c r="V57" s="148" t="n">
        <v>24926</v>
      </c>
      <c r="W57" s="150" t="n">
        <v>0.679</v>
      </c>
      <c r="X57" s="148"/>
      <c r="Y57" s="151" t="n">
        <v>124975.127736</v>
      </c>
      <c r="Z57" s="152" t="n">
        <v>0.54</v>
      </c>
      <c r="AA57" s="156"/>
      <c r="AB57" s="148"/>
      <c r="AC57" s="153"/>
      <c r="AD57" s="148"/>
      <c r="AE57" s="148"/>
      <c r="AF57" s="148"/>
      <c r="AG57" s="154"/>
      <c r="AH57" s="12"/>
      <c r="AI57" s="12"/>
      <c r="AJ57" s="12"/>
    </row>
    <row r="58" customFormat="false" ht="12.75" hidden="false" customHeight="false" outlineLevel="0" collapsed="false">
      <c r="A58" s="146" t="n">
        <v>37926</v>
      </c>
      <c r="B58" s="147" t="n">
        <v>30</v>
      </c>
      <c r="C58" s="148"/>
      <c r="D58" s="148" t="n">
        <f aca="false">15/(15+22+24)*Y58</f>
        <v>57332.1935181148</v>
      </c>
      <c r="E58" s="148" t="n">
        <f aca="false">D58/B58</f>
        <v>1911.07311727049</v>
      </c>
      <c r="F58" s="148" t="n">
        <f aca="false">22/(15+22+24)*Y58</f>
        <v>84087.2171599016</v>
      </c>
      <c r="G58" s="148" t="n">
        <f aca="false">F58/B58</f>
        <v>2802.90723866339</v>
      </c>
      <c r="H58" s="148" t="n">
        <f aca="false">24/(15+22+24)*Y58</f>
        <v>91731.5096289836</v>
      </c>
      <c r="I58" s="148" t="n">
        <f aca="false">H58/B58</f>
        <v>3057.71698763279</v>
      </c>
      <c r="J58" s="148" t="n">
        <f aca="false">5000*B58</f>
        <v>150000</v>
      </c>
      <c r="K58" s="148"/>
      <c r="L58" s="148" t="n">
        <f aca="false">S58-J58-C58+AB58</f>
        <v>4296217.3</v>
      </c>
      <c r="M58" s="148" t="n">
        <f aca="false">L58/B58</f>
        <v>143207.243333333</v>
      </c>
      <c r="N58" s="149"/>
      <c r="O58" s="149"/>
      <c r="P58" s="44" t="n">
        <f aca="false">S58+Y58+AB58+V58</f>
        <v>4724902.220307</v>
      </c>
      <c r="Q58" s="148" t="n">
        <f aca="false">P58/B58</f>
        <v>157496.7406769</v>
      </c>
      <c r="R58" s="12"/>
      <c r="S58" s="148" t="n">
        <v>4446217.3</v>
      </c>
      <c r="T58" s="150" t="n">
        <v>0.689</v>
      </c>
      <c r="U58" s="148"/>
      <c r="V58" s="148" t="n">
        <v>45534</v>
      </c>
      <c r="W58" s="150" t="n">
        <v>0.679</v>
      </c>
      <c r="X58" s="148"/>
      <c r="Y58" s="151" t="n">
        <v>233150.920307</v>
      </c>
      <c r="Z58" s="152" t="n">
        <v>0.52</v>
      </c>
      <c r="AA58" s="156"/>
      <c r="AB58" s="148"/>
      <c r="AC58" s="153"/>
      <c r="AD58" s="148"/>
      <c r="AE58" s="148"/>
      <c r="AF58" s="148"/>
      <c r="AG58" s="154"/>
      <c r="AH58" s="12"/>
      <c r="AI58" s="12"/>
      <c r="AJ58" s="12"/>
      <c r="AK58" s="130" t="n">
        <f aca="false">468000+260000+100000</f>
        <v>828000</v>
      </c>
    </row>
    <row r="59" customFormat="false" ht="12.75" hidden="false" customHeight="false" outlineLevel="0" collapsed="false">
      <c r="A59" s="146" t="n">
        <v>37956</v>
      </c>
      <c r="B59" s="147" t="n">
        <v>31</v>
      </c>
      <c r="C59" s="148"/>
      <c r="D59" s="148" t="n">
        <f aca="false">15/(15+22+24)*Y59</f>
        <v>79666.1418359016</v>
      </c>
      <c r="E59" s="148" t="n">
        <f aca="false">D59/B59</f>
        <v>2569.8755430936</v>
      </c>
      <c r="F59" s="148" t="n">
        <f aca="false">22/(15+22+24)*Y59</f>
        <v>116843.674692656</v>
      </c>
      <c r="G59" s="148" t="n">
        <f aca="false">F59/B59</f>
        <v>3769.15079653728</v>
      </c>
      <c r="H59" s="148" t="n">
        <f aca="false">24/(15+22+24)*Y59</f>
        <v>127465.826937443</v>
      </c>
      <c r="I59" s="148" t="n">
        <f aca="false">H59/B59</f>
        <v>4111.80086894976</v>
      </c>
      <c r="J59" s="148" t="n">
        <f aca="false">5000*B59</f>
        <v>155000</v>
      </c>
      <c r="K59" s="148"/>
      <c r="L59" s="148" t="n">
        <f aca="false">S59-J59-C59+AB59</f>
        <v>7289391.1</v>
      </c>
      <c r="M59" s="148" t="n">
        <f aca="false">L59/B59</f>
        <v>235141.648387097</v>
      </c>
      <c r="N59" s="149"/>
      <c r="O59" s="149"/>
      <c r="P59" s="44" t="n">
        <f aca="false">S59+Y59+AB59+V59</f>
        <v>7845794.743466</v>
      </c>
      <c r="Q59" s="148" t="n">
        <f aca="false">P59/B59</f>
        <v>253090.153015032</v>
      </c>
      <c r="R59" s="12"/>
      <c r="S59" s="148" t="n">
        <v>7444391.1</v>
      </c>
      <c r="T59" s="150" t="n">
        <v>0.6853</v>
      </c>
      <c r="U59" s="148"/>
      <c r="V59" s="148" t="n">
        <v>77428</v>
      </c>
      <c r="W59" s="150" t="n">
        <v>0.679</v>
      </c>
      <c r="X59" s="148"/>
      <c r="Y59" s="151" t="n">
        <v>323975.643466</v>
      </c>
      <c r="Z59" s="152" t="n">
        <v>0.5163</v>
      </c>
      <c r="AA59" s="156"/>
      <c r="AB59" s="148"/>
      <c r="AC59" s="153"/>
      <c r="AD59" s="148"/>
      <c r="AE59" s="148"/>
      <c r="AF59" s="148"/>
      <c r="AG59" s="154"/>
      <c r="AH59" s="12"/>
      <c r="AI59" s="12"/>
      <c r="AJ59" s="12"/>
      <c r="AK59" s="130" t="n">
        <f aca="false">468000+260000+100000</f>
        <v>828000</v>
      </c>
    </row>
    <row r="60" customFormat="false" ht="12.75" hidden="false" customHeight="false" outlineLevel="0" collapsed="false">
      <c r="A60" s="146" t="n">
        <v>37987</v>
      </c>
      <c r="B60" s="147" t="n">
        <v>31</v>
      </c>
      <c r="C60" s="148"/>
      <c r="D60" s="148" t="n">
        <f aca="false">15/(15+22+24)*Y60</f>
        <v>105064.210684426</v>
      </c>
      <c r="E60" s="148" t="n">
        <f aca="false">D60/B60</f>
        <v>3389.16808659439</v>
      </c>
      <c r="F60" s="148" t="n">
        <f aca="false">22/(15+22+24)*Y60</f>
        <v>154094.175670492</v>
      </c>
      <c r="G60" s="148" t="n">
        <f aca="false">F60/B60</f>
        <v>4970.77986033845</v>
      </c>
      <c r="H60" s="148" t="n">
        <f aca="false">24/(15+22+24)*Y60</f>
        <v>168102.737095082</v>
      </c>
      <c r="I60" s="148" t="n">
        <f aca="false">H60/B60</f>
        <v>5422.66893855103</v>
      </c>
      <c r="J60" s="148" t="n">
        <f aca="false">5000*B60</f>
        <v>155000</v>
      </c>
      <c r="K60" s="148"/>
      <c r="L60" s="148" t="n">
        <f aca="false">S60-J60-C60+AB60</f>
        <v>8904884.6</v>
      </c>
      <c r="M60" s="148" t="n">
        <f aca="false">L60/B60</f>
        <v>287254.341935484</v>
      </c>
      <c r="N60" s="149"/>
      <c r="O60" s="149"/>
      <c r="P60" s="44" t="n">
        <f aca="false">S60+Y60+AB60+V60</f>
        <v>9580127.72345</v>
      </c>
      <c r="Q60" s="148" t="n">
        <f aca="false">P60/B60</f>
        <v>309036.378175806</v>
      </c>
      <c r="R60" s="12"/>
      <c r="S60" s="148" t="n">
        <v>9059884.6</v>
      </c>
      <c r="T60" s="150" t="n">
        <v>0.6906</v>
      </c>
      <c r="U60" s="148"/>
      <c r="V60" s="148" t="n">
        <v>92982</v>
      </c>
      <c r="W60" s="150" t="n">
        <v>0.679</v>
      </c>
      <c r="X60" s="148"/>
      <c r="Y60" s="151" t="n">
        <v>427261.12345</v>
      </c>
      <c r="Z60" s="152" t="n">
        <v>0.5216</v>
      </c>
      <c r="AA60" s="156"/>
      <c r="AB60" s="148"/>
      <c r="AC60" s="153"/>
      <c r="AD60" s="148"/>
      <c r="AE60" s="148"/>
      <c r="AF60" s="148"/>
      <c r="AG60" s="154"/>
      <c r="AH60" s="12"/>
      <c r="AI60" s="12"/>
      <c r="AJ60" s="12"/>
      <c r="AK60" s="130" t="n">
        <f aca="false">468000+260000+100000</f>
        <v>828000</v>
      </c>
    </row>
    <row r="61" customFormat="false" ht="12.75" hidden="false" customHeight="false" outlineLevel="0" collapsed="false">
      <c r="A61" s="146" t="n">
        <v>38018</v>
      </c>
      <c r="B61" s="147" t="n">
        <v>28</v>
      </c>
      <c r="C61" s="148"/>
      <c r="D61" s="148" t="n">
        <f aca="false">15/(15+22+24)*Y61</f>
        <v>69406.7031093443</v>
      </c>
      <c r="E61" s="148" t="n">
        <f aca="false">D61/B61</f>
        <v>2478.81082533372</v>
      </c>
      <c r="F61" s="148" t="n">
        <f aca="false">22/(15+22+24)*Y61</f>
        <v>101796.497893705</v>
      </c>
      <c r="G61" s="148" t="n">
        <f aca="false">F61/B61</f>
        <v>3635.58921048946</v>
      </c>
      <c r="H61" s="148" t="n">
        <f aca="false">24/(15+22+24)*Y61</f>
        <v>111050.724974951</v>
      </c>
      <c r="I61" s="148" t="n">
        <f aca="false">H61/B61</f>
        <v>3966.09732053396</v>
      </c>
      <c r="J61" s="148" t="n">
        <f aca="false">5000*B61</f>
        <v>140000</v>
      </c>
      <c r="K61" s="148"/>
      <c r="L61" s="148" t="n">
        <f aca="false">S61-J61-C61+AB61</f>
        <v>6250154.2</v>
      </c>
      <c r="M61" s="148" t="n">
        <f aca="false">L61/B61</f>
        <v>223219.792857143</v>
      </c>
      <c r="N61" s="149"/>
      <c r="O61" s="149"/>
      <c r="P61" s="44" t="n">
        <f aca="false">S61+Y61+AB61+V61</f>
        <v>6737765.125978</v>
      </c>
      <c r="Q61" s="148" t="n">
        <f aca="false">P61/B61</f>
        <v>240634.468784929</v>
      </c>
      <c r="R61" s="12"/>
      <c r="S61" s="148" t="n">
        <v>6390154.2</v>
      </c>
      <c r="T61" s="150" t="n">
        <v>0.6948</v>
      </c>
      <c r="U61" s="148"/>
      <c r="V61" s="148" t="n">
        <v>65357</v>
      </c>
      <c r="W61" s="150" t="n">
        <v>0.679</v>
      </c>
      <c r="X61" s="148"/>
      <c r="Y61" s="151" t="n">
        <v>282253.925978</v>
      </c>
      <c r="Z61" s="152" t="n">
        <v>0.5258</v>
      </c>
      <c r="AA61" s="156"/>
      <c r="AB61" s="148"/>
      <c r="AC61" s="153"/>
      <c r="AD61" s="148"/>
      <c r="AE61" s="148"/>
      <c r="AF61" s="148"/>
      <c r="AG61" s="154"/>
      <c r="AH61" s="12"/>
      <c r="AI61" s="12"/>
      <c r="AJ61" s="12"/>
      <c r="AK61" s="130" t="n">
        <f aca="false">468000+260000+100000</f>
        <v>828000</v>
      </c>
    </row>
    <row r="62" customFormat="false" ht="12.75" hidden="false" customHeight="false" outlineLevel="0" collapsed="false">
      <c r="A62" s="146" t="n">
        <v>38047</v>
      </c>
      <c r="B62" s="147" t="n">
        <v>31</v>
      </c>
      <c r="C62" s="148"/>
      <c r="D62" s="148" t="n">
        <f aca="false">15/(15+22+24)*Y62</f>
        <v>59887.8219386066</v>
      </c>
      <c r="E62" s="148" t="n">
        <f aca="false">D62/B62</f>
        <v>1931.86522382602</v>
      </c>
      <c r="F62" s="148" t="n">
        <f aca="false">22/(15+22+24)*Y62</f>
        <v>87835.472176623</v>
      </c>
      <c r="G62" s="148" t="n">
        <f aca="false">F62/B62</f>
        <v>2833.40232827816</v>
      </c>
      <c r="H62" s="148" t="n">
        <f aca="false">24/(15+22+24)*Y62</f>
        <v>95820.5151017705</v>
      </c>
      <c r="I62" s="148" t="n">
        <f aca="false">H62/B62</f>
        <v>3090.98435812163</v>
      </c>
      <c r="J62" s="148" t="n">
        <f aca="false">5000*B62</f>
        <v>155000</v>
      </c>
      <c r="K62" s="148"/>
      <c r="L62" s="148" t="n">
        <f aca="false">S62-J62-C62+AB62</f>
        <v>5160585</v>
      </c>
      <c r="M62" s="148" t="n">
        <f aca="false">L62/B62</f>
        <v>166470.483870968</v>
      </c>
      <c r="N62" s="149"/>
      <c r="O62" s="149"/>
      <c r="P62" s="44" t="n">
        <f aca="false">S62+Y62+AB62+V62</f>
        <v>5613494.809217</v>
      </c>
      <c r="Q62" s="148" t="n">
        <f aca="false">P62/B62</f>
        <v>181080.477716677</v>
      </c>
      <c r="R62" s="12"/>
      <c r="S62" s="148" t="n">
        <v>5315585</v>
      </c>
      <c r="T62" s="150" t="n">
        <v>0.6972</v>
      </c>
      <c r="U62" s="148"/>
      <c r="V62" s="148" t="n">
        <v>54366</v>
      </c>
      <c r="W62" s="150" t="n">
        <v>0.679</v>
      </c>
      <c r="X62" s="148"/>
      <c r="Y62" s="151" t="n">
        <v>243543.809217</v>
      </c>
      <c r="Z62" s="152" t="n">
        <v>0.5282</v>
      </c>
      <c r="AA62" s="156"/>
      <c r="AB62" s="148"/>
      <c r="AC62" s="153"/>
      <c r="AD62" s="148"/>
      <c r="AE62" s="148"/>
      <c r="AF62" s="148"/>
      <c r="AG62" s="154"/>
      <c r="AH62" s="12"/>
      <c r="AI62" s="12"/>
      <c r="AJ62" s="12"/>
      <c r="AK62" s="130" t="n">
        <f aca="false">468000+260000+100000</f>
        <v>828000</v>
      </c>
    </row>
    <row r="63" customFormat="false" ht="12.75" hidden="false" customHeight="false" outlineLevel="0" collapsed="false">
      <c r="A63" s="146" t="n">
        <v>38078</v>
      </c>
      <c r="B63" s="147" t="n">
        <v>30</v>
      </c>
      <c r="C63" s="148"/>
      <c r="D63" s="148" t="n">
        <f aca="false">15/(15+22+24)*Y63</f>
        <v>34267.746805082</v>
      </c>
      <c r="E63" s="148" t="n">
        <f aca="false">D63/B63</f>
        <v>1142.25822683607</v>
      </c>
      <c r="F63" s="148" t="n">
        <f aca="false">22/(15+22+24)*Y63</f>
        <v>50259.3619807869</v>
      </c>
      <c r="G63" s="148" t="n">
        <f aca="false">F63/B63</f>
        <v>1675.31206602623</v>
      </c>
      <c r="H63" s="148" t="n">
        <f aca="false">24/(15+22+24)*Y63</f>
        <v>54828.3948881312</v>
      </c>
      <c r="I63" s="148" t="n">
        <f aca="false">H63/B63</f>
        <v>1827.61316293771</v>
      </c>
      <c r="J63" s="148" t="n">
        <f aca="false">5000*B63</f>
        <v>150000</v>
      </c>
      <c r="K63" s="148"/>
      <c r="L63" s="148" t="n">
        <f aca="false">S63-J63-C63+AB63</f>
        <v>2756925.2</v>
      </c>
      <c r="M63" s="148" t="n">
        <f aca="false">L63/B63</f>
        <v>91897.5066666667</v>
      </c>
      <c r="N63" s="149"/>
      <c r="O63" s="149"/>
      <c r="P63" s="44" t="n">
        <f aca="false">S63+Y63+AB63+V63</f>
        <v>3075475.703674</v>
      </c>
      <c r="Q63" s="148" t="n">
        <f aca="false">P63/B63</f>
        <v>102515.856789133</v>
      </c>
      <c r="R63" s="12"/>
      <c r="S63" s="148" t="n">
        <v>2906925.2</v>
      </c>
      <c r="T63" s="150" t="n">
        <v>0.709</v>
      </c>
      <c r="U63" s="148"/>
      <c r="V63" s="148" t="n">
        <v>29195</v>
      </c>
      <c r="W63" s="150" t="n">
        <v>0.679</v>
      </c>
      <c r="X63" s="148"/>
      <c r="Y63" s="151" t="n">
        <v>139355.503674</v>
      </c>
      <c r="Z63" s="152" t="n">
        <v>0.54</v>
      </c>
      <c r="AA63" s="156"/>
      <c r="AB63" s="148"/>
      <c r="AC63" s="153"/>
      <c r="AD63" s="148"/>
      <c r="AE63" s="148"/>
      <c r="AF63" s="148"/>
      <c r="AG63" s="154"/>
      <c r="AH63" s="12"/>
      <c r="AI63" s="12"/>
      <c r="AJ63" s="12"/>
    </row>
    <row r="64" customFormat="false" ht="12.75" hidden="false" customHeight="false" outlineLevel="0" collapsed="false">
      <c r="A64" s="146" t="n">
        <v>38108</v>
      </c>
      <c r="B64" s="147" t="n">
        <v>31</v>
      </c>
      <c r="C64" s="148"/>
      <c r="D64" s="148" t="n">
        <f aca="false">15/(15+22+24)*Y64</f>
        <v>23275.8496069672</v>
      </c>
      <c r="E64" s="148" t="n">
        <f aca="false">D64/B64</f>
        <v>750.833858289265</v>
      </c>
      <c r="F64" s="148" t="n">
        <f aca="false">22/(15+22+24)*Y64</f>
        <v>34137.9127568852</v>
      </c>
      <c r="G64" s="148" t="n">
        <f aca="false">F64/B64</f>
        <v>1101.22299215759</v>
      </c>
      <c r="H64" s="148" t="n">
        <f aca="false">24/(15+22+24)*Y64</f>
        <v>37241.3593711475</v>
      </c>
      <c r="I64" s="148" t="n">
        <f aca="false">H64/B64</f>
        <v>1201.33417326282</v>
      </c>
      <c r="J64" s="148" t="n">
        <f aca="false">5000*B64</f>
        <v>155000</v>
      </c>
      <c r="K64" s="148"/>
      <c r="L64" s="148" t="n">
        <f aca="false">S64-J64-C64+AB64</f>
        <v>2142473.7</v>
      </c>
      <c r="M64" s="148" t="n">
        <f aca="false">L64/B64</f>
        <v>69112.0548387097</v>
      </c>
      <c r="N64" s="149"/>
      <c r="O64" s="149"/>
      <c r="P64" s="44" t="n">
        <f aca="false">S64+Y64+AB64+V64</f>
        <v>2415239.821735</v>
      </c>
      <c r="Q64" s="148" t="n">
        <f aca="false">P64/B64</f>
        <v>77910.9619914516</v>
      </c>
      <c r="R64" s="12"/>
      <c r="S64" s="148" t="n">
        <v>2297473.7</v>
      </c>
      <c r="T64" s="150" t="n">
        <v>0.709</v>
      </c>
      <c r="U64" s="148"/>
      <c r="V64" s="148" t="n">
        <v>23111</v>
      </c>
      <c r="W64" s="150" t="n">
        <v>0.679</v>
      </c>
      <c r="X64" s="148"/>
      <c r="Y64" s="151" t="n">
        <v>94655.121735</v>
      </c>
      <c r="Z64" s="152" t="n">
        <v>0.54</v>
      </c>
      <c r="AA64" s="156"/>
      <c r="AB64" s="148"/>
      <c r="AC64" s="153"/>
      <c r="AD64" s="148"/>
      <c r="AE64" s="148"/>
      <c r="AF64" s="148"/>
      <c r="AG64" s="154"/>
      <c r="AH64" s="12"/>
      <c r="AI64" s="12"/>
      <c r="AJ64" s="12"/>
    </row>
    <row r="65" customFormat="false" ht="12.75" hidden="false" customHeight="false" outlineLevel="0" collapsed="false">
      <c r="A65" s="146" t="n">
        <v>38139</v>
      </c>
      <c r="B65" s="147" t="n">
        <v>30</v>
      </c>
      <c r="C65" s="148"/>
      <c r="D65" s="148" t="n">
        <f aca="false">15/(15+22+24)*Y65</f>
        <v>16779.7928963115</v>
      </c>
      <c r="E65" s="148" t="n">
        <f aca="false">D65/B65</f>
        <v>559.326429877049</v>
      </c>
      <c r="F65" s="148" t="n">
        <f aca="false">22/(15+22+24)*Y65</f>
        <v>24610.3629145902</v>
      </c>
      <c r="G65" s="148" t="n">
        <f aca="false">F65/B65</f>
        <v>820.345430486339</v>
      </c>
      <c r="H65" s="148" t="n">
        <f aca="false">24/(15+22+24)*Y65</f>
        <v>26847.6686340984</v>
      </c>
      <c r="I65" s="148" t="n">
        <f aca="false">H65/B65</f>
        <v>894.922287803279</v>
      </c>
      <c r="J65" s="148" t="n">
        <f aca="false">5000*B65</f>
        <v>150000</v>
      </c>
      <c r="K65" s="148"/>
      <c r="L65" s="148" t="n">
        <f aca="false">S65-J65-C65+AB65</f>
        <v>1595352.4</v>
      </c>
      <c r="M65" s="148" t="n">
        <f aca="false">L65/B65</f>
        <v>53178.4133333333</v>
      </c>
      <c r="N65" s="149"/>
      <c r="O65" s="149"/>
      <c r="P65" s="44" t="n">
        <f aca="false">S65+Y65+AB65+V65</f>
        <v>1831058.224445</v>
      </c>
      <c r="Q65" s="148" t="n">
        <f aca="false">P65/B65</f>
        <v>61035.2741481667</v>
      </c>
      <c r="R65" s="12"/>
      <c r="S65" s="148" t="n">
        <v>1745352.4</v>
      </c>
      <c r="T65" s="150" t="n">
        <v>0.709</v>
      </c>
      <c r="U65" s="148"/>
      <c r="V65" s="148" t="n">
        <v>17468</v>
      </c>
      <c r="W65" s="150" t="n">
        <v>0.679</v>
      </c>
      <c r="X65" s="148"/>
      <c r="Y65" s="151" t="n">
        <v>68237.824445</v>
      </c>
      <c r="Z65" s="152" t="n">
        <v>0.54</v>
      </c>
      <c r="AA65" s="156"/>
      <c r="AB65" s="148"/>
      <c r="AC65" s="153"/>
      <c r="AD65" s="148"/>
      <c r="AE65" s="148"/>
      <c r="AF65" s="148"/>
      <c r="AG65" s="154"/>
      <c r="AH65" s="12"/>
      <c r="AI65" s="12"/>
      <c r="AJ65" s="12"/>
    </row>
    <row r="66" customFormat="false" ht="12.75" hidden="false" customHeight="false" outlineLevel="0" collapsed="false">
      <c r="A66" s="146" t="n">
        <v>38169</v>
      </c>
      <c r="B66" s="147" t="n">
        <v>31</v>
      </c>
      <c r="C66" s="148"/>
      <c r="D66" s="148" t="n">
        <f aca="false">15/(15+22+24)*Y66</f>
        <v>18337.791975</v>
      </c>
      <c r="E66" s="148" t="n">
        <f aca="false">D66/B66</f>
        <v>591.541676612903</v>
      </c>
      <c r="F66" s="148" t="n">
        <f aca="false">22/(15+22+24)*Y66</f>
        <v>26895.42823</v>
      </c>
      <c r="G66" s="148" t="n">
        <f aca="false">F66/B66</f>
        <v>867.594459032258</v>
      </c>
      <c r="H66" s="148" t="n">
        <f aca="false">24/(15+22+24)*Y66</f>
        <v>29340.46716</v>
      </c>
      <c r="I66" s="148" t="n">
        <f aca="false">H66/B66</f>
        <v>946.466682580645</v>
      </c>
      <c r="J66" s="148" t="n">
        <f aca="false">5000*B66</f>
        <v>155000</v>
      </c>
      <c r="K66" s="148"/>
      <c r="L66" s="148" t="n">
        <f aca="false">S66-J66-C66+AB66</f>
        <v>1667137.1</v>
      </c>
      <c r="M66" s="148" t="n">
        <f aca="false">L66/B66</f>
        <v>53778.6161290323</v>
      </c>
      <c r="N66" s="149"/>
      <c r="O66" s="149"/>
      <c r="P66" s="44" t="n">
        <f aca="false">S66+Y66+AB66+V66</f>
        <v>1914767.787365</v>
      </c>
      <c r="Q66" s="148" t="n">
        <f aca="false">P66/B66</f>
        <v>61766.7028182258</v>
      </c>
      <c r="R66" s="12"/>
      <c r="S66" s="148" t="n">
        <v>1822137.1</v>
      </c>
      <c r="T66" s="150" t="n">
        <v>0.709</v>
      </c>
      <c r="U66" s="148"/>
      <c r="V66" s="148" t="n">
        <v>18057</v>
      </c>
      <c r="W66" s="150" t="n">
        <v>0.679</v>
      </c>
      <c r="X66" s="148"/>
      <c r="Y66" s="151" t="n">
        <v>74573.687365</v>
      </c>
      <c r="Z66" s="152" t="n">
        <v>0.54</v>
      </c>
      <c r="AA66" s="156"/>
      <c r="AB66" s="148"/>
      <c r="AC66" s="153"/>
      <c r="AD66" s="148"/>
      <c r="AE66" s="148"/>
      <c r="AF66" s="148"/>
      <c r="AG66" s="154"/>
      <c r="AH66" s="12"/>
      <c r="AI66" s="12"/>
      <c r="AJ66" s="12"/>
    </row>
    <row r="67" customFormat="false" ht="12.75" hidden="false" customHeight="false" outlineLevel="0" collapsed="false">
      <c r="A67" s="146" t="n">
        <v>38200</v>
      </c>
      <c r="B67" s="147" t="n">
        <v>31</v>
      </c>
      <c r="C67" s="148"/>
      <c r="D67" s="148" t="n">
        <f aca="false">15/(15+22+24)*Y67</f>
        <v>17560.6505309016</v>
      </c>
      <c r="E67" s="148" t="n">
        <f aca="false">D67/B67</f>
        <v>566.472597771021</v>
      </c>
      <c r="F67" s="148" t="n">
        <f aca="false">22/(15+22+24)*Y67</f>
        <v>25755.6207786557</v>
      </c>
      <c r="G67" s="148" t="n">
        <f aca="false">F67/B67</f>
        <v>830.82647673083</v>
      </c>
      <c r="H67" s="148" t="n">
        <f aca="false">24/(15+22+24)*Y67</f>
        <v>28097.0408494426</v>
      </c>
      <c r="I67" s="148" t="n">
        <f aca="false">H67/B67</f>
        <v>906.356156433633</v>
      </c>
      <c r="J67" s="148" t="n">
        <f aca="false">5000*B67</f>
        <v>155000</v>
      </c>
      <c r="K67" s="148"/>
      <c r="L67" s="148" t="n">
        <f aca="false">S67-J67-C67+AB67</f>
        <v>2097103.5</v>
      </c>
      <c r="M67" s="148" t="n">
        <f aca="false">L67/B67</f>
        <v>67648.5</v>
      </c>
      <c r="N67" s="149"/>
      <c r="O67" s="149"/>
      <c r="P67" s="44" t="n">
        <f aca="false">S67+Y67+AB67+V67</f>
        <v>2346136.812159</v>
      </c>
      <c r="Q67" s="148" t="n">
        <f aca="false">P67/B67</f>
        <v>75681.8326502903</v>
      </c>
      <c r="R67" s="12"/>
      <c r="S67" s="148" t="n">
        <v>2252103.5</v>
      </c>
      <c r="T67" s="150" t="n">
        <v>0.709</v>
      </c>
      <c r="U67" s="148"/>
      <c r="V67" s="148" t="n">
        <v>22620</v>
      </c>
      <c r="W67" s="150" t="n">
        <v>0.679</v>
      </c>
      <c r="X67" s="148"/>
      <c r="Y67" s="151" t="n">
        <v>71413.312159</v>
      </c>
      <c r="Z67" s="152" t="n">
        <v>0.54</v>
      </c>
      <c r="AA67" s="156"/>
      <c r="AB67" s="148"/>
      <c r="AC67" s="153"/>
      <c r="AD67" s="148"/>
      <c r="AE67" s="148"/>
      <c r="AF67" s="148"/>
      <c r="AG67" s="154"/>
      <c r="AH67" s="12"/>
      <c r="AI67" s="12"/>
      <c r="AJ67" s="12"/>
    </row>
    <row r="68" customFormat="false" ht="12.75" hidden="false" customHeight="false" outlineLevel="0" collapsed="false">
      <c r="A68" s="146" t="n">
        <v>38231</v>
      </c>
      <c r="B68" s="147" t="n">
        <v>30</v>
      </c>
      <c r="C68" s="148"/>
      <c r="D68" s="148" t="n">
        <f aca="false">15/(15+22+24)*Y68</f>
        <v>15473.5116223771</v>
      </c>
      <c r="E68" s="148" t="n">
        <f aca="false">D68/B68</f>
        <v>515.783720745902</v>
      </c>
      <c r="F68" s="148" t="n">
        <f aca="false">22/(15+22+24)*Y68</f>
        <v>22694.4837128197</v>
      </c>
      <c r="G68" s="148" t="n">
        <f aca="false">F68/B68</f>
        <v>756.482790427323</v>
      </c>
      <c r="H68" s="148" t="n">
        <f aca="false">24/(15+22+24)*Y68</f>
        <v>24757.6185958033</v>
      </c>
      <c r="I68" s="148" t="n">
        <f aca="false">H68/B68</f>
        <v>825.253953193443</v>
      </c>
      <c r="J68" s="148" t="n">
        <f aca="false">5000*B68</f>
        <v>150000</v>
      </c>
      <c r="K68" s="148"/>
      <c r="L68" s="148" t="n">
        <f aca="false">S68-J68-C68+AB68</f>
        <v>1810900.5</v>
      </c>
      <c r="M68" s="148" t="n">
        <f aca="false">L68/B68</f>
        <v>60363.35</v>
      </c>
      <c r="N68" s="149"/>
      <c r="O68" s="149"/>
      <c r="P68" s="44" t="n">
        <f aca="false">S68+Y68+AB68+V68</f>
        <v>2043453.113931</v>
      </c>
      <c r="Q68" s="148" t="n">
        <f aca="false">P68/B68</f>
        <v>68115.1037977</v>
      </c>
      <c r="R68" s="12"/>
      <c r="S68" s="148" t="n">
        <v>1960900.5</v>
      </c>
      <c r="T68" s="150" t="n">
        <v>0.709</v>
      </c>
      <c r="U68" s="148"/>
      <c r="V68" s="148" t="n">
        <v>19627</v>
      </c>
      <c r="W68" s="150" t="n">
        <v>0.679</v>
      </c>
      <c r="X68" s="148"/>
      <c r="Y68" s="151" t="n">
        <v>62925.613931</v>
      </c>
      <c r="Z68" s="152" t="n">
        <v>0.54</v>
      </c>
      <c r="AA68" s="156"/>
      <c r="AB68" s="148"/>
      <c r="AC68" s="153"/>
      <c r="AD68" s="148"/>
      <c r="AE68" s="148"/>
      <c r="AF68" s="148"/>
      <c r="AG68" s="154"/>
      <c r="AH68" s="12"/>
      <c r="AI68" s="12"/>
      <c r="AJ68" s="12"/>
    </row>
    <row r="69" customFormat="false" ht="12.75" hidden="false" customHeight="false" outlineLevel="0" collapsed="false">
      <c r="A69" s="146" t="n">
        <v>38261</v>
      </c>
      <c r="B69" s="147" t="n">
        <v>31</v>
      </c>
      <c r="C69" s="148"/>
      <c r="D69" s="148" t="n">
        <f aca="false">15/(15+22+24)*Y69</f>
        <v>31038.9046755738</v>
      </c>
      <c r="E69" s="148" t="n">
        <f aca="false">D69/B69</f>
        <v>1001.25498953464</v>
      </c>
      <c r="F69" s="148" t="n">
        <f aca="false">22/(15+22+24)*Y69</f>
        <v>45523.7268575082</v>
      </c>
      <c r="G69" s="148" t="n">
        <f aca="false">F69/B69</f>
        <v>1468.50731798414</v>
      </c>
      <c r="H69" s="148" t="n">
        <f aca="false">24/(15+22+24)*Y69</f>
        <v>49662.247480918</v>
      </c>
      <c r="I69" s="148" t="n">
        <f aca="false">H69/B69</f>
        <v>1602.00798325542</v>
      </c>
      <c r="J69" s="148" t="n">
        <f aca="false">5000*B69</f>
        <v>155000</v>
      </c>
      <c r="K69" s="148"/>
      <c r="L69" s="148" t="n">
        <f aca="false">S69-J69-C69+AB69</f>
        <v>2339300.1</v>
      </c>
      <c r="M69" s="148" t="n">
        <f aca="false">L69/B69</f>
        <v>75461.2935483871</v>
      </c>
      <c r="N69" s="149"/>
      <c r="O69" s="149"/>
      <c r="P69" s="44" t="n">
        <f aca="false">S69+Y69+AB69+V69</f>
        <v>2645450.979014</v>
      </c>
      <c r="Q69" s="148" t="n">
        <f aca="false">P69/B69</f>
        <v>85337.1283552903</v>
      </c>
      <c r="R69" s="12"/>
      <c r="S69" s="148" t="n">
        <v>2494300.1</v>
      </c>
      <c r="T69" s="150" t="n">
        <v>0.709</v>
      </c>
      <c r="U69" s="148"/>
      <c r="V69" s="148" t="n">
        <v>24926</v>
      </c>
      <c r="W69" s="150" t="n">
        <v>0.679</v>
      </c>
      <c r="X69" s="148"/>
      <c r="Y69" s="151" t="n">
        <v>126224.879014</v>
      </c>
      <c r="Z69" s="152" t="n">
        <v>0.54</v>
      </c>
      <c r="AA69" s="156"/>
      <c r="AB69" s="148"/>
      <c r="AC69" s="153"/>
      <c r="AD69" s="148"/>
      <c r="AE69" s="148"/>
      <c r="AF69" s="148"/>
      <c r="AG69" s="154"/>
      <c r="AH69" s="12"/>
      <c r="AI69" s="12"/>
      <c r="AJ69" s="12"/>
    </row>
    <row r="70" customFormat="false" ht="12.75" hidden="false" customHeight="false" outlineLevel="0" collapsed="false">
      <c r="A70" s="146" t="n">
        <v>38292</v>
      </c>
      <c r="B70" s="147" t="n">
        <v>30</v>
      </c>
      <c r="C70" s="148"/>
      <c r="D70" s="148" t="n">
        <f aca="false">15/(15+22+24)*Y70</f>
        <v>57905.5154532787</v>
      </c>
      <c r="E70" s="148" t="n">
        <f aca="false">D70/B70</f>
        <v>1930.18384844262</v>
      </c>
      <c r="F70" s="148" t="n">
        <f aca="false">22/(15+22+24)*Y70</f>
        <v>84928.0893314754</v>
      </c>
      <c r="G70" s="148" t="n">
        <f aca="false">F70/B70</f>
        <v>2830.93631104918</v>
      </c>
      <c r="H70" s="148" t="n">
        <f aca="false">24/(15+22+24)*Y70</f>
        <v>92648.8247252459</v>
      </c>
      <c r="I70" s="148" t="n">
        <f aca="false">H70/B70</f>
        <v>3088.2941575082</v>
      </c>
      <c r="J70" s="148" t="n">
        <f aca="false">5000*B70</f>
        <v>150000</v>
      </c>
      <c r="K70" s="148"/>
      <c r="L70" s="148" t="n">
        <f aca="false">S70-J70-C70+AB70</f>
        <v>4339566.8</v>
      </c>
      <c r="M70" s="148" t="n">
        <f aca="false">L70/B70</f>
        <v>144652.226666667</v>
      </c>
      <c r="N70" s="149"/>
      <c r="O70" s="149"/>
      <c r="P70" s="44" t="n">
        <f aca="false">S70+Y70+AB70+V70</f>
        <v>4770583.22951</v>
      </c>
      <c r="Q70" s="148" t="n">
        <f aca="false">P70/B70</f>
        <v>159019.440983667</v>
      </c>
      <c r="R70" s="12"/>
      <c r="S70" s="148" t="n">
        <v>4489566.8</v>
      </c>
      <c r="T70" s="150" t="n">
        <v>0.689</v>
      </c>
      <c r="U70" s="148"/>
      <c r="V70" s="148" t="n">
        <v>45534</v>
      </c>
      <c r="W70" s="150" t="n">
        <v>0.679</v>
      </c>
      <c r="X70" s="148"/>
      <c r="Y70" s="151" t="n">
        <v>235482.42951</v>
      </c>
      <c r="Z70" s="152" t="n">
        <v>0.52</v>
      </c>
      <c r="AA70" s="156"/>
      <c r="AB70" s="148"/>
      <c r="AC70" s="153"/>
      <c r="AD70" s="148"/>
      <c r="AE70" s="148"/>
      <c r="AF70" s="148"/>
      <c r="AG70" s="154"/>
      <c r="AH70" s="12"/>
      <c r="AI70" s="12"/>
      <c r="AJ70" s="12"/>
      <c r="AK70" s="130" t="n">
        <f aca="false">468000+260000+100000</f>
        <v>828000</v>
      </c>
    </row>
    <row r="71" customFormat="false" ht="12.75" hidden="false" customHeight="false" outlineLevel="0" collapsed="false">
      <c r="A71" s="146" t="n">
        <v>38322</v>
      </c>
      <c r="B71" s="147" t="n">
        <v>31</v>
      </c>
      <c r="C71" s="148"/>
      <c r="D71" s="148" t="n">
        <f aca="false">15/(15+22+24)*Y71</f>
        <v>80462.8032540984</v>
      </c>
      <c r="E71" s="148" t="n">
        <f aca="false">D71/B71</f>
        <v>2595.5742985193</v>
      </c>
      <c r="F71" s="148" t="n">
        <f aca="false">22/(15+22+24)*Y71</f>
        <v>118012.111439344</v>
      </c>
      <c r="G71" s="148" t="n">
        <f aca="false">F71/B71</f>
        <v>3806.84230449498</v>
      </c>
      <c r="H71" s="148" t="n">
        <f aca="false">24/(15+22+24)*Y71</f>
        <v>128740.485206557</v>
      </c>
      <c r="I71" s="148" t="n">
        <f aca="false">H71/B71</f>
        <v>4152.91887763088</v>
      </c>
      <c r="J71" s="148" t="n">
        <f aca="false">5000*B71</f>
        <v>155000</v>
      </c>
      <c r="K71" s="148"/>
      <c r="L71" s="148" t="n">
        <f aca="false">S71-J71-C71+AB71</f>
        <v>7362543.7</v>
      </c>
      <c r="M71" s="148" t="n">
        <f aca="false">L71/B71</f>
        <v>237501.409677419</v>
      </c>
      <c r="N71" s="149"/>
      <c r="O71" s="149"/>
      <c r="P71" s="44" t="n">
        <f aca="false">S71+Y71+AB71+V71</f>
        <v>7922187.0999</v>
      </c>
      <c r="Q71" s="148" t="n">
        <f aca="false">P71/B71</f>
        <v>255554.422577419</v>
      </c>
      <c r="R71" s="12"/>
      <c r="S71" s="148" t="n">
        <v>7517543.7</v>
      </c>
      <c r="T71" s="150" t="n">
        <v>0.6853</v>
      </c>
      <c r="U71" s="148"/>
      <c r="V71" s="148" t="n">
        <v>77428</v>
      </c>
      <c r="W71" s="150" t="n">
        <v>0.679</v>
      </c>
      <c r="X71" s="148"/>
      <c r="Y71" s="151" t="n">
        <v>327215.3999</v>
      </c>
      <c r="Z71" s="152" t="n">
        <v>0.5163</v>
      </c>
      <c r="AA71" s="156"/>
      <c r="AB71" s="148"/>
      <c r="AC71" s="153"/>
      <c r="AD71" s="148"/>
      <c r="AE71" s="148"/>
      <c r="AF71" s="148"/>
      <c r="AG71" s="154"/>
      <c r="AH71" s="12"/>
      <c r="AI71" s="12"/>
      <c r="AJ71" s="12"/>
      <c r="AK71" s="130" t="n">
        <f aca="false">468000+260000+100000</f>
        <v>828000</v>
      </c>
    </row>
    <row r="72" customFormat="false" ht="12.75" hidden="false" customHeight="false" outlineLevel="0" collapsed="false">
      <c r="A72" s="146" t="n">
        <v>38353</v>
      </c>
      <c r="B72" s="147" t="n">
        <v>31</v>
      </c>
      <c r="C72" s="148"/>
      <c r="D72" s="148" t="n">
        <f aca="false">15/(15+22+24)*Y72</f>
        <v>106114.852791393</v>
      </c>
      <c r="E72" s="148" t="n">
        <f aca="false">D72/B72</f>
        <v>3423.0597674643</v>
      </c>
      <c r="F72" s="148" t="n">
        <f aca="false">22/(15+22+24)*Y72</f>
        <v>155635.117427377</v>
      </c>
      <c r="G72" s="148" t="n">
        <f aca="false">F72/B72</f>
        <v>5020.48765894765</v>
      </c>
      <c r="H72" s="148" t="n">
        <f aca="false">24/(15+22+24)*Y72</f>
        <v>169783.76446623</v>
      </c>
      <c r="I72" s="148" t="n">
        <f aca="false">H72/B72</f>
        <v>5476.89562794289</v>
      </c>
      <c r="J72" s="148" t="n">
        <f aca="false">5000*B72</f>
        <v>155000</v>
      </c>
      <c r="K72" s="148"/>
      <c r="L72" s="148" t="n">
        <f aca="false">S72-J72-C72+AB72</f>
        <v>8993972.4</v>
      </c>
      <c r="M72" s="148" t="n">
        <f aca="false">L72/B72</f>
        <v>290128.141935484</v>
      </c>
      <c r="N72" s="149"/>
      <c r="O72" s="149"/>
      <c r="P72" s="44" t="n">
        <f aca="false">S72+Y72+AB72+V72</f>
        <v>9673488.134685</v>
      </c>
      <c r="Q72" s="148" t="n">
        <f aca="false">P72/B72</f>
        <v>312048.004344677</v>
      </c>
      <c r="R72" s="12"/>
      <c r="S72" s="148" t="n">
        <v>9148972.4</v>
      </c>
      <c r="T72" s="150" t="n">
        <v>0.6906</v>
      </c>
      <c r="U72" s="148"/>
      <c r="V72" s="148" t="n">
        <v>92982</v>
      </c>
      <c r="W72" s="150" t="n">
        <v>0.679</v>
      </c>
      <c r="X72" s="148"/>
      <c r="Y72" s="151" t="n">
        <v>431533.734685</v>
      </c>
      <c r="Z72" s="152" t="n">
        <v>0.5216</v>
      </c>
      <c r="AA72" s="156"/>
      <c r="AB72" s="148"/>
      <c r="AC72" s="153"/>
      <c r="AD72" s="148"/>
      <c r="AE72" s="148"/>
      <c r="AF72" s="148"/>
      <c r="AG72" s="154"/>
      <c r="AH72" s="12"/>
      <c r="AI72" s="12"/>
      <c r="AJ72" s="12"/>
      <c r="AK72" s="130" t="n">
        <f aca="false">468000+260000+100000</f>
        <v>828000</v>
      </c>
    </row>
    <row r="73" customFormat="false" ht="12.75" hidden="false" customHeight="false" outlineLevel="0" collapsed="false">
      <c r="A73" s="146" t="n">
        <v>38384</v>
      </c>
      <c r="B73" s="147" t="n">
        <v>28</v>
      </c>
      <c r="C73" s="148"/>
      <c r="D73" s="148" t="n">
        <f aca="false">15/(15+22+24)*Y73</f>
        <v>70100.7701404918</v>
      </c>
      <c r="E73" s="148" t="n">
        <f aca="false">D73/B73</f>
        <v>2503.59893358899</v>
      </c>
      <c r="F73" s="148" t="n">
        <f aca="false">22/(15+22+24)*Y73</f>
        <v>102814.462872721</v>
      </c>
      <c r="G73" s="148" t="n">
        <f aca="false">F73/B73</f>
        <v>3671.94510259719</v>
      </c>
      <c r="H73" s="148" t="n">
        <f aca="false">24/(15+22+24)*Y73</f>
        <v>112161.232224787</v>
      </c>
      <c r="I73" s="148" t="n">
        <f aca="false">H73/B73</f>
        <v>4005.75829374239</v>
      </c>
      <c r="J73" s="148" t="n">
        <f aca="false">5000*B73</f>
        <v>140000</v>
      </c>
      <c r="K73" s="148"/>
      <c r="L73" s="148" t="n">
        <f aca="false">S73-J73-C73+AB73</f>
        <v>6310117.8</v>
      </c>
      <c r="M73" s="148" t="n">
        <f aca="false">L73/B73</f>
        <v>225361.35</v>
      </c>
      <c r="N73" s="149"/>
      <c r="O73" s="149"/>
      <c r="P73" s="44" t="n">
        <f aca="false">S73+Y73+AB73+V73</f>
        <v>6800551.265238</v>
      </c>
      <c r="Q73" s="148" t="n">
        <f aca="false">P73/B73</f>
        <v>242876.830901357</v>
      </c>
      <c r="R73" s="12"/>
      <c r="S73" s="148" t="n">
        <v>6450117.8</v>
      </c>
      <c r="T73" s="150" t="n">
        <v>0.6948</v>
      </c>
      <c r="U73" s="148"/>
      <c r="V73" s="148" t="n">
        <v>65357</v>
      </c>
      <c r="W73" s="150" t="n">
        <v>0.679</v>
      </c>
      <c r="X73" s="148"/>
      <c r="Y73" s="151" t="n">
        <v>285076.465238</v>
      </c>
      <c r="Z73" s="152" t="n">
        <v>0.5258</v>
      </c>
      <c r="AA73" s="156"/>
      <c r="AB73" s="148"/>
      <c r="AC73" s="153"/>
      <c r="AD73" s="148"/>
      <c r="AE73" s="148"/>
      <c r="AF73" s="148"/>
      <c r="AG73" s="154"/>
      <c r="AH73" s="12"/>
      <c r="AI73" s="12"/>
      <c r="AJ73" s="12"/>
      <c r="AK73" s="130" t="n">
        <f aca="false">468000+260000+100000</f>
        <v>828000</v>
      </c>
    </row>
    <row r="74" customFormat="false" ht="12.75" hidden="false" customHeight="false" outlineLevel="0" collapsed="false">
      <c r="A74" s="146" t="n">
        <v>38412</v>
      </c>
      <c r="B74" s="147" t="n">
        <v>31</v>
      </c>
      <c r="C74" s="148"/>
      <c r="D74" s="148" t="n">
        <f aca="false">15/(15+22+24)*Y74</f>
        <v>60486.7001579508</v>
      </c>
      <c r="E74" s="148" t="n">
        <f aca="false">D74/B74</f>
        <v>1951.18387606293</v>
      </c>
      <c r="F74" s="148" t="n">
        <f aca="false">22/(15+22+24)*Y74</f>
        <v>88713.8268983279</v>
      </c>
      <c r="G74" s="148" t="n">
        <f aca="false">F74/B74</f>
        <v>2861.73635155896</v>
      </c>
      <c r="H74" s="148" t="n">
        <f aca="false">24/(15+22+24)*Y74</f>
        <v>96778.7202527213</v>
      </c>
      <c r="I74" s="148" t="n">
        <f aca="false">H74/B74</f>
        <v>3121.89420170069</v>
      </c>
      <c r="J74" s="148" t="n">
        <f aca="false">5000*B74</f>
        <v>155000</v>
      </c>
      <c r="K74" s="148"/>
      <c r="L74" s="148" t="n">
        <f aca="false">S74-J74-C74+AB74</f>
        <v>5212447.5</v>
      </c>
      <c r="M74" s="148" t="n">
        <f aca="false">L74/B74</f>
        <v>168143.467741935</v>
      </c>
      <c r="N74" s="149"/>
      <c r="O74" s="149"/>
      <c r="P74" s="44" t="n">
        <f aca="false">S74+Y74+AB74+V74</f>
        <v>5667792.747309</v>
      </c>
      <c r="Q74" s="148" t="n">
        <f aca="false">P74/B74</f>
        <v>182832.024106742</v>
      </c>
      <c r="R74" s="12"/>
      <c r="S74" s="148" t="n">
        <v>5367447.5</v>
      </c>
      <c r="T74" s="150" t="n">
        <v>0.6972</v>
      </c>
      <c r="U74" s="148"/>
      <c r="V74" s="148" t="n">
        <v>54366</v>
      </c>
      <c r="W74" s="150" t="n">
        <v>0.679</v>
      </c>
      <c r="X74" s="148"/>
      <c r="Y74" s="151" t="n">
        <v>245979.247309</v>
      </c>
      <c r="Z74" s="152" t="n">
        <v>0.5282</v>
      </c>
      <c r="AA74" s="156"/>
      <c r="AB74" s="148"/>
      <c r="AC74" s="153"/>
      <c r="AD74" s="148"/>
      <c r="AE74" s="148"/>
      <c r="AF74" s="148"/>
      <c r="AG74" s="154"/>
      <c r="AH74" s="12"/>
      <c r="AI74" s="12"/>
      <c r="AJ74" s="12"/>
      <c r="AK74" s="130" t="n">
        <f aca="false">468000+260000+100000</f>
        <v>828000</v>
      </c>
    </row>
    <row r="75" customFormat="false" ht="12.75" hidden="false" customHeight="false" outlineLevel="0" collapsed="false">
      <c r="A75" s="146" t="n">
        <v>38443</v>
      </c>
      <c r="B75" s="147" t="n">
        <v>30</v>
      </c>
      <c r="C75" s="148"/>
      <c r="D75" s="148" t="n">
        <f aca="false">15/(15+22+24)*Y75</f>
        <v>34610.4242729508</v>
      </c>
      <c r="E75" s="148" t="n">
        <f aca="false">D75/B75</f>
        <v>1153.68080909836</v>
      </c>
      <c r="F75" s="148" t="n">
        <f aca="false">22/(15+22+24)*Y75</f>
        <v>50761.9556003279</v>
      </c>
      <c r="G75" s="148" t="n">
        <f aca="false">F75/B75</f>
        <v>1692.0651866776</v>
      </c>
      <c r="H75" s="148" t="n">
        <f aca="false">24/(15+22+24)*Y75</f>
        <v>55376.6788367213</v>
      </c>
      <c r="I75" s="148" t="n">
        <f aca="false">H75/B75</f>
        <v>1845.88929455738</v>
      </c>
      <c r="J75" s="148" t="n">
        <f aca="false">5000*B75</f>
        <v>150000</v>
      </c>
      <c r="K75" s="148"/>
      <c r="L75" s="148" t="n">
        <f aca="false">S75-J75-C75+AB75</f>
        <v>2784964.8</v>
      </c>
      <c r="M75" s="148" t="n">
        <f aca="false">L75/B75</f>
        <v>92832.16</v>
      </c>
      <c r="N75" s="149"/>
      <c r="O75" s="149"/>
      <c r="P75" s="44" t="n">
        <f aca="false">S75+Y75+AB75+V75</f>
        <v>3104908.85871</v>
      </c>
      <c r="Q75" s="148" t="n">
        <f aca="false">P75/B75</f>
        <v>103496.961957</v>
      </c>
      <c r="R75" s="12"/>
      <c r="S75" s="148" t="n">
        <v>2934964.8</v>
      </c>
      <c r="T75" s="150" t="n">
        <v>0.54</v>
      </c>
      <c r="U75" s="148"/>
      <c r="V75" s="148" t="n">
        <v>29195</v>
      </c>
      <c r="W75" s="150" t="n">
        <v>0.51</v>
      </c>
      <c r="X75" s="148"/>
      <c r="Y75" s="151" t="n">
        <v>140749.05871</v>
      </c>
      <c r="Z75" s="152" t="n">
        <v>0.54</v>
      </c>
      <c r="AA75" s="156"/>
      <c r="AB75" s="148"/>
      <c r="AC75" s="153"/>
      <c r="AD75" s="148"/>
      <c r="AE75" s="148"/>
      <c r="AF75" s="148"/>
      <c r="AG75" s="154"/>
      <c r="AH75" s="12"/>
      <c r="AI75" s="12"/>
      <c r="AJ75" s="12"/>
    </row>
    <row r="76" customFormat="false" ht="12.75" hidden="false" customHeight="false" outlineLevel="0" collapsed="false">
      <c r="A76" s="146" t="n">
        <v>38473</v>
      </c>
      <c r="B76" s="147" t="n">
        <v>31</v>
      </c>
      <c r="C76" s="148"/>
      <c r="D76" s="148" t="n">
        <f aca="false">15/(15+22+24)*Y76</f>
        <v>23508.6081029508</v>
      </c>
      <c r="E76" s="148" t="n">
        <f aca="false">D76/B76</f>
        <v>758.342196869381</v>
      </c>
      <c r="F76" s="148" t="n">
        <f aca="false">22/(15+22+24)*Y76</f>
        <v>34479.2918843279</v>
      </c>
      <c r="G76" s="148" t="n">
        <f aca="false">F76/B76</f>
        <v>1112.23522207509</v>
      </c>
      <c r="H76" s="148" t="n">
        <f aca="false">24/(15+22+24)*Y76</f>
        <v>37613.7729647213</v>
      </c>
      <c r="I76" s="148" t="n">
        <f aca="false">H76/B76</f>
        <v>1213.34751499101</v>
      </c>
      <c r="J76" s="148" t="n">
        <f aca="false">5000*B76</f>
        <v>155000</v>
      </c>
      <c r="K76" s="148"/>
      <c r="L76" s="148" t="n">
        <f aca="false">S76-J76-C76+AB76</f>
        <v>2164580.6</v>
      </c>
      <c r="M76" s="148" t="n">
        <f aca="false">L76/B76</f>
        <v>69825.1806451613</v>
      </c>
      <c r="N76" s="149"/>
      <c r="O76" s="149"/>
      <c r="P76" s="44" t="n">
        <f aca="false">S76+Y76+AB76+V76</f>
        <v>2438293.272952</v>
      </c>
      <c r="Q76" s="148" t="n">
        <f aca="false">P76/B76</f>
        <v>78654.621708129</v>
      </c>
      <c r="R76" s="12"/>
      <c r="S76" s="148" t="n">
        <v>2319580.6</v>
      </c>
      <c r="T76" s="150" t="n">
        <v>0.54</v>
      </c>
      <c r="U76" s="148"/>
      <c r="V76" s="148" t="n">
        <v>23111</v>
      </c>
      <c r="W76" s="150" t="n">
        <v>0.51</v>
      </c>
      <c r="X76" s="148"/>
      <c r="Y76" s="151" t="n">
        <v>95601.672952</v>
      </c>
      <c r="Z76" s="152" t="n">
        <v>0.54</v>
      </c>
      <c r="AA76" s="156"/>
      <c r="AB76" s="148"/>
      <c r="AC76" s="153"/>
      <c r="AD76" s="148"/>
      <c r="AE76" s="148"/>
      <c r="AF76" s="148"/>
      <c r="AG76" s="154"/>
      <c r="AH76" s="12"/>
      <c r="AI76" s="12"/>
      <c r="AJ76" s="12"/>
    </row>
    <row r="77" customFormat="false" ht="12.75" hidden="false" customHeight="false" outlineLevel="0" collapsed="false">
      <c r="A77" s="146" t="n">
        <v>38504</v>
      </c>
      <c r="B77" s="147" t="n">
        <v>30</v>
      </c>
      <c r="C77" s="148"/>
      <c r="D77" s="148" t="n">
        <f aca="false">15/(15+22+24)*Y77</f>
        <v>16947.5908254098</v>
      </c>
      <c r="E77" s="148" t="n">
        <f aca="false">D77/B77</f>
        <v>564.919694180328</v>
      </c>
      <c r="F77" s="148" t="n">
        <f aca="false">22/(15+22+24)*Y77</f>
        <v>24856.4665439344</v>
      </c>
      <c r="G77" s="148" t="n">
        <f aca="false">F77/B77</f>
        <v>828.548884797814</v>
      </c>
      <c r="H77" s="148" t="n">
        <f aca="false">24/(15+22+24)*Y77</f>
        <v>27116.1453206557</v>
      </c>
      <c r="I77" s="148" t="n">
        <f aca="false">H77/B77</f>
        <v>903.871510688525</v>
      </c>
      <c r="J77" s="148" t="n">
        <f aca="false">5000*B77</f>
        <v>150000</v>
      </c>
      <c r="K77" s="148"/>
      <c r="L77" s="148" t="n">
        <f aca="false">S77-J77-C77+AB77</f>
        <v>1611948.7</v>
      </c>
      <c r="M77" s="148" t="n">
        <f aca="false">L77/B77</f>
        <v>53731.6233333333</v>
      </c>
      <c r="N77" s="149"/>
      <c r="O77" s="149"/>
      <c r="P77" s="44" t="n">
        <f aca="false">S77+Y77+AB77+V77</f>
        <v>1848336.90269</v>
      </c>
      <c r="Q77" s="148" t="n">
        <f aca="false">P77/B77</f>
        <v>61611.2300896667</v>
      </c>
      <c r="R77" s="12"/>
      <c r="S77" s="148" t="n">
        <v>1761948.7</v>
      </c>
      <c r="T77" s="150" t="n">
        <v>0.54</v>
      </c>
      <c r="U77" s="148"/>
      <c r="V77" s="148" t="n">
        <v>17468</v>
      </c>
      <c r="W77" s="150" t="n">
        <v>0.51</v>
      </c>
      <c r="X77" s="148"/>
      <c r="Y77" s="151" t="n">
        <v>68920.20269</v>
      </c>
      <c r="Z77" s="152" t="n">
        <v>0.54</v>
      </c>
      <c r="AA77" s="156"/>
      <c r="AB77" s="148"/>
      <c r="AC77" s="153"/>
      <c r="AD77" s="148"/>
      <c r="AE77" s="148"/>
      <c r="AF77" s="148"/>
      <c r="AG77" s="154"/>
      <c r="AH77" s="12"/>
      <c r="AI77" s="12"/>
      <c r="AJ77" s="12"/>
    </row>
    <row r="78" customFormat="false" ht="12.75" hidden="false" customHeight="false" outlineLevel="0" collapsed="false">
      <c r="A78" s="146" t="n">
        <v>38534</v>
      </c>
      <c r="B78" s="147" t="n">
        <v>31</v>
      </c>
      <c r="C78" s="148"/>
      <c r="D78" s="148" t="n">
        <f aca="false">15/(15+22+24)*Y78</f>
        <v>18521.1698948361</v>
      </c>
      <c r="E78" s="148" t="n">
        <f aca="false">D78/B78</f>
        <v>597.457093381809</v>
      </c>
      <c r="F78" s="148" t="n">
        <f aca="false">22/(15+22+24)*Y78</f>
        <v>27164.3825124262</v>
      </c>
      <c r="G78" s="148" t="n">
        <f aca="false">F78/B78</f>
        <v>876.270403626653</v>
      </c>
      <c r="H78" s="148" t="n">
        <f aca="false">24/(15+22+24)*Y78</f>
        <v>29633.8718317377</v>
      </c>
      <c r="I78" s="148" t="n">
        <f aca="false">H78/B78</f>
        <v>955.931349410894</v>
      </c>
      <c r="J78" s="148" t="n">
        <f aca="false">5000*B78</f>
        <v>155000</v>
      </c>
      <c r="K78" s="148"/>
      <c r="L78" s="148" t="n">
        <f aca="false">S78-J78-C78+AB78</f>
        <v>1684455.1</v>
      </c>
      <c r="M78" s="148" t="n">
        <f aca="false">L78/B78</f>
        <v>54337.2612903226</v>
      </c>
      <c r="N78" s="149"/>
      <c r="O78" s="149"/>
      <c r="P78" s="44" t="n">
        <f aca="false">S78+Y78+AB78+V78</f>
        <v>1932831.524239</v>
      </c>
      <c r="Q78" s="148" t="n">
        <f aca="false">P78/B78</f>
        <v>62349.4040077097</v>
      </c>
      <c r="R78" s="12"/>
      <c r="S78" s="148" t="n">
        <v>1839455.1</v>
      </c>
      <c r="T78" s="150" t="n">
        <v>0.54</v>
      </c>
      <c r="U78" s="148"/>
      <c r="V78" s="148" t="n">
        <v>18057</v>
      </c>
      <c r="W78" s="150" t="n">
        <v>0.51</v>
      </c>
      <c r="X78" s="148"/>
      <c r="Y78" s="151" t="n">
        <v>75319.424239</v>
      </c>
      <c r="Z78" s="152" t="n">
        <v>0.54</v>
      </c>
      <c r="AA78" s="156"/>
      <c r="AB78" s="148"/>
      <c r="AC78" s="153"/>
      <c r="AD78" s="148"/>
      <c r="AE78" s="148"/>
      <c r="AF78" s="148"/>
      <c r="AG78" s="154"/>
      <c r="AH78" s="12"/>
      <c r="AI78" s="12"/>
      <c r="AJ78" s="12"/>
    </row>
    <row r="79" customFormat="false" ht="12.75" hidden="false" customHeight="false" outlineLevel="0" collapsed="false">
      <c r="A79" s="146" t="n">
        <v>38565</v>
      </c>
      <c r="B79" s="147" t="n">
        <v>31</v>
      </c>
      <c r="C79" s="148"/>
      <c r="D79" s="148" t="n">
        <f aca="false">15/(15+22+24)*Y79</f>
        <v>17736.2570363115</v>
      </c>
      <c r="E79" s="148" t="n">
        <f aca="false">D79/B79</f>
        <v>572.137323751983</v>
      </c>
      <c r="F79" s="148" t="n">
        <f aca="false">22/(15+22+24)*Y79</f>
        <v>26013.1769865902</v>
      </c>
      <c r="G79" s="148" t="n">
        <f aca="false">F79/B79</f>
        <v>839.134741502909</v>
      </c>
      <c r="H79" s="148" t="n">
        <f aca="false">24/(15+22+24)*Y79</f>
        <v>28378.0112580984</v>
      </c>
      <c r="I79" s="148" t="n">
        <f aca="false">H79/B79</f>
        <v>915.419718003173</v>
      </c>
      <c r="J79" s="148" t="n">
        <f aca="false">5000*B79</f>
        <v>155000</v>
      </c>
      <c r="K79" s="148"/>
      <c r="L79" s="148" t="n">
        <f aca="false">S79-J79-C79+AB79</f>
        <v>2118664.1</v>
      </c>
      <c r="M79" s="148" t="n">
        <f aca="false">L79/B79</f>
        <v>68344.0032258065</v>
      </c>
      <c r="N79" s="149"/>
      <c r="O79" s="149"/>
      <c r="P79" s="44" t="n">
        <f aca="false">S79+Y79+AB79+V79</f>
        <v>2368411.545281</v>
      </c>
      <c r="Q79" s="148" t="n">
        <f aca="false">P79/B79</f>
        <v>76400.3724284194</v>
      </c>
      <c r="R79" s="12"/>
      <c r="S79" s="148" t="n">
        <v>2273664.1</v>
      </c>
      <c r="T79" s="150" t="n">
        <v>0.54</v>
      </c>
      <c r="U79" s="148"/>
      <c r="V79" s="148" t="n">
        <v>22620</v>
      </c>
      <c r="W79" s="150" t="n">
        <v>0.51</v>
      </c>
      <c r="X79" s="148"/>
      <c r="Y79" s="151" t="n">
        <v>72127.445281</v>
      </c>
      <c r="Z79" s="152" t="n">
        <v>0.54</v>
      </c>
      <c r="AA79" s="156"/>
      <c r="AB79" s="148"/>
      <c r="AC79" s="153"/>
      <c r="AD79" s="148"/>
      <c r="AE79" s="148"/>
      <c r="AF79" s="148"/>
      <c r="AG79" s="154"/>
      <c r="AH79" s="12"/>
      <c r="AI79" s="12"/>
      <c r="AJ79" s="12"/>
    </row>
    <row r="80" customFormat="false" ht="12.75" hidden="false" customHeight="false" outlineLevel="0" collapsed="false">
      <c r="A80" s="146" t="n">
        <v>38596</v>
      </c>
      <c r="B80" s="147" t="n">
        <v>30</v>
      </c>
      <c r="C80" s="148"/>
      <c r="D80" s="148" t="n">
        <f aca="false">15/(15+22+24)*Y80</f>
        <v>15628.2467385246</v>
      </c>
      <c r="E80" s="148" t="n">
        <f aca="false">D80/B80</f>
        <v>520.94155795082</v>
      </c>
      <c r="F80" s="148" t="n">
        <f aca="false">22/(15+22+24)*Y80</f>
        <v>22921.4285498361</v>
      </c>
      <c r="G80" s="148" t="n">
        <f aca="false">F80/B80</f>
        <v>764.047618327869</v>
      </c>
      <c r="H80" s="148" t="n">
        <f aca="false">24/(15+22+24)*Y80</f>
        <v>25005.1947816393</v>
      </c>
      <c r="I80" s="148" t="n">
        <f aca="false">H80/B80</f>
        <v>833.506492721312</v>
      </c>
      <c r="J80" s="148" t="n">
        <f aca="false">5000*B80</f>
        <v>150000</v>
      </c>
      <c r="K80" s="148"/>
      <c r="L80" s="148" t="n">
        <f aca="false">S80-J80-C80+AB80</f>
        <v>1829623.1</v>
      </c>
      <c r="M80" s="148" t="n">
        <f aca="false">L80/B80</f>
        <v>60987.4366666667</v>
      </c>
      <c r="N80" s="149"/>
      <c r="O80" s="149"/>
      <c r="P80" s="44" t="n">
        <f aca="false">S80+Y80+AB80+V80</f>
        <v>2062804.97007</v>
      </c>
      <c r="Q80" s="148" t="n">
        <f aca="false">P80/B80</f>
        <v>68760.165669</v>
      </c>
      <c r="R80" s="12"/>
      <c r="S80" s="148" t="n">
        <v>1979623.1</v>
      </c>
      <c r="T80" s="150" t="n">
        <v>0.54</v>
      </c>
      <c r="U80" s="148"/>
      <c r="V80" s="148" t="n">
        <v>19627</v>
      </c>
      <c r="W80" s="150" t="n">
        <v>0.51</v>
      </c>
      <c r="X80" s="148"/>
      <c r="Y80" s="151" t="n">
        <v>63554.87007</v>
      </c>
      <c r="Z80" s="152" t="n">
        <v>0.54</v>
      </c>
      <c r="AA80" s="156"/>
      <c r="AB80" s="148"/>
      <c r="AC80" s="153"/>
      <c r="AD80" s="148"/>
      <c r="AE80" s="148"/>
      <c r="AF80" s="148"/>
      <c r="AG80" s="154"/>
      <c r="AH80" s="12"/>
      <c r="AI80" s="12"/>
      <c r="AJ80" s="12"/>
    </row>
    <row r="81" customFormat="false" ht="12.75" hidden="false" customHeight="false" outlineLevel="0" collapsed="false">
      <c r="A81" s="146" t="n">
        <v>38626</v>
      </c>
      <c r="B81" s="147" t="n">
        <v>31</v>
      </c>
      <c r="C81" s="148"/>
      <c r="D81" s="148" t="n">
        <f aca="false">15/(15+22+24)*Y81</f>
        <v>31349.2937222951</v>
      </c>
      <c r="E81" s="148" t="n">
        <f aca="false">D81/B81</f>
        <v>1011.26753942887</v>
      </c>
      <c r="F81" s="148" t="n">
        <f aca="false">22/(15+22+24)*Y81</f>
        <v>45978.9641260328</v>
      </c>
      <c r="G81" s="148" t="n">
        <f aca="false">F81/B81</f>
        <v>1483.19239116235</v>
      </c>
      <c r="H81" s="148" t="n">
        <f aca="false">24/(15+22+24)*Y81</f>
        <v>50158.8699556721</v>
      </c>
      <c r="I81" s="148" t="n">
        <f aca="false">H81/B81</f>
        <v>1618.0280630862</v>
      </c>
      <c r="J81" s="148" t="n">
        <f aca="false">5000*B81</f>
        <v>155000</v>
      </c>
      <c r="K81" s="148"/>
      <c r="L81" s="148" t="n">
        <f aca="false">S81-J81-C81+AB81</f>
        <v>2363378.3</v>
      </c>
      <c r="M81" s="148" t="n">
        <f aca="false">L81/B81</f>
        <v>76238.0096774194</v>
      </c>
      <c r="N81" s="149"/>
      <c r="O81" s="149"/>
      <c r="P81" s="44" t="n">
        <f aca="false">S81+Y81+AB81+V81</f>
        <v>2670791.427804</v>
      </c>
      <c r="Q81" s="148" t="n">
        <f aca="false">P81/B81</f>
        <v>86154.5621872258</v>
      </c>
      <c r="R81" s="12"/>
      <c r="S81" s="148" t="n">
        <v>2518378.3</v>
      </c>
      <c r="T81" s="150" t="n">
        <v>0.54</v>
      </c>
      <c r="U81" s="148"/>
      <c r="V81" s="148" t="n">
        <v>24926</v>
      </c>
      <c r="W81" s="150" t="n">
        <v>0.51</v>
      </c>
      <c r="X81" s="148"/>
      <c r="Y81" s="151" t="n">
        <v>127487.127804</v>
      </c>
      <c r="Z81" s="152" t="n">
        <v>0.54</v>
      </c>
      <c r="AA81" s="156"/>
      <c r="AB81" s="148"/>
      <c r="AC81" s="153"/>
      <c r="AD81" s="148"/>
      <c r="AE81" s="148"/>
      <c r="AF81" s="148"/>
      <c r="AG81" s="154"/>
      <c r="AH81" s="12"/>
      <c r="AI81" s="12"/>
      <c r="AJ81" s="12"/>
    </row>
    <row r="82" customFormat="false" ht="12.75" hidden="false" customHeight="false" outlineLevel="0" collapsed="false">
      <c r="A82" s="146" t="n">
        <v>38657</v>
      </c>
      <c r="B82" s="147" t="n">
        <v>30</v>
      </c>
      <c r="C82" s="148"/>
      <c r="D82" s="148" t="n">
        <f aca="false">15/(15+22+24)*Y82</f>
        <v>58484.5706077869</v>
      </c>
      <c r="E82" s="148" t="n">
        <f aca="false">D82/B82</f>
        <v>1949.48568692623</v>
      </c>
      <c r="F82" s="148" t="n">
        <f aca="false">22/(15+22+24)*Y82</f>
        <v>85777.3702247541</v>
      </c>
      <c r="G82" s="148" t="n">
        <f aca="false">F82/B82</f>
        <v>2859.24567415847</v>
      </c>
      <c r="H82" s="148" t="n">
        <f aca="false">24/(15+22+24)*Y82</f>
        <v>93575.312972459</v>
      </c>
      <c r="I82" s="148" t="n">
        <f aca="false">H82/B82</f>
        <v>3119.17709908197</v>
      </c>
      <c r="J82" s="148" t="n">
        <f aca="false">5000*B82</f>
        <v>150000</v>
      </c>
      <c r="K82" s="148"/>
      <c r="L82" s="148" t="n">
        <f aca="false">S82-J82-C82+AB82</f>
        <v>4383349.9</v>
      </c>
      <c r="M82" s="148" t="n">
        <f aca="false">L82/B82</f>
        <v>146111.663333333</v>
      </c>
      <c r="N82" s="149"/>
      <c r="O82" s="149"/>
      <c r="P82" s="44" t="n">
        <f aca="false">S82+Y82+AB82+V82</f>
        <v>4816721.153805</v>
      </c>
      <c r="Q82" s="148" t="n">
        <f aca="false">P82/B82</f>
        <v>160557.3717935</v>
      </c>
      <c r="R82" s="12"/>
      <c r="S82" s="148" t="n">
        <v>4533349.9</v>
      </c>
      <c r="T82" s="150" t="n">
        <v>0.520017461449262</v>
      </c>
      <c r="U82" s="148"/>
      <c r="V82" s="148" t="n">
        <v>45534</v>
      </c>
      <c r="W82" s="150" t="n">
        <v>0.51</v>
      </c>
      <c r="X82" s="148"/>
      <c r="Y82" s="151" t="n">
        <v>237837.253805</v>
      </c>
      <c r="Z82" s="152" t="n">
        <v>0.52</v>
      </c>
      <c r="AA82" s="156"/>
      <c r="AB82" s="148"/>
      <c r="AC82" s="153"/>
      <c r="AD82" s="148"/>
      <c r="AE82" s="148"/>
      <c r="AF82" s="148"/>
      <c r="AG82" s="154"/>
      <c r="AH82" s="12"/>
      <c r="AI82" s="12"/>
      <c r="AJ82" s="12"/>
      <c r="AK82" s="130" t="n">
        <f aca="false">468000+260000+100000</f>
        <v>828000</v>
      </c>
    </row>
    <row r="83" customFormat="false" ht="12.75" hidden="false" customHeight="false" outlineLevel="0" collapsed="false">
      <c r="A83" s="146" t="n">
        <v>38687</v>
      </c>
      <c r="B83" s="147" t="n">
        <v>31</v>
      </c>
      <c r="C83" s="148"/>
      <c r="D83" s="148" t="n">
        <f aca="false">15/(15+22+24)*Y83</f>
        <v>81267.4312866393</v>
      </c>
      <c r="E83" s="148" t="n">
        <f aca="false">D83/B83</f>
        <v>2621.5300415045</v>
      </c>
      <c r="F83" s="148" t="n">
        <f aca="false">22/(15+22+24)*Y83</f>
        <v>119192.232553738</v>
      </c>
      <c r="G83" s="148" t="n">
        <f aca="false">F83/B83</f>
        <v>3844.91072753993</v>
      </c>
      <c r="H83" s="148" t="n">
        <f aca="false">24/(15+22+24)*Y83</f>
        <v>130027.890058623</v>
      </c>
      <c r="I83" s="148" t="n">
        <f aca="false">H83/B83</f>
        <v>4194.44806640719</v>
      </c>
      <c r="J83" s="148" t="n">
        <f aca="false">5000*B83</f>
        <v>155000</v>
      </c>
      <c r="K83" s="148"/>
      <c r="L83" s="148" t="n">
        <f aca="false">S83-J83-C83+AB83</f>
        <v>7436427.9</v>
      </c>
      <c r="M83" s="148" t="n">
        <f aca="false">L83/B83</f>
        <v>239884.770967742</v>
      </c>
      <c r="N83" s="149"/>
      <c r="O83" s="149"/>
      <c r="P83" s="44" t="n">
        <f aca="false">S83+Y83+AB83+V83</f>
        <v>7999343.453899</v>
      </c>
      <c r="Q83" s="148" t="n">
        <f aca="false">P83/B83</f>
        <v>258043.337222548</v>
      </c>
      <c r="R83" s="12"/>
      <c r="S83" s="148" t="n">
        <v>7591427.9</v>
      </c>
      <c r="T83" s="150" t="n">
        <v>0.516283173151194</v>
      </c>
      <c r="U83" s="148"/>
      <c r="V83" s="148" t="n">
        <v>77428</v>
      </c>
      <c r="W83" s="150" t="n">
        <v>0.51</v>
      </c>
      <c r="X83" s="148"/>
      <c r="Y83" s="151" t="n">
        <v>330487.553899</v>
      </c>
      <c r="Z83" s="152" t="n">
        <v>0.5163</v>
      </c>
      <c r="AA83" s="156"/>
      <c r="AB83" s="148"/>
      <c r="AC83" s="153"/>
      <c r="AD83" s="148"/>
      <c r="AE83" s="148"/>
      <c r="AF83" s="148"/>
      <c r="AG83" s="154"/>
      <c r="AH83" s="12"/>
      <c r="AI83" s="12"/>
      <c r="AJ83" s="12"/>
      <c r="AK83" s="130" t="n">
        <f aca="false">468000+260000+100000</f>
        <v>828000</v>
      </c>
    </row>
    <row r="84" customFormat="false" ht="12.75" hidden="false" customHeight="false" outlineLevel="0" collapsed="false">
      <c r="A84" s="146" t="n">
        <v>38718</v>
      </c>
      <c r="B84" s="147" t="n">
        <v>31</v>
      </c>
      <c r="C84" s="148"/>
      <c r="D84" s="148" t="n">
        <f aca="false">15/(15+22+24)*Y84</f>
        <v>107176.001319098</v>
      </c>
      <c r="E84" s="148" t="n">
        <f aca="false">D84/B84</f>
        <v>3457.29036513221</v>
      </c>
      <c r="F84" s="148" t="n">
        <f aca="false">22/(15+22+24)*Y84</f>
        <v>157191.468601344</v>
      </c>
      <c r="G84" s="148" t="n">
        <f aca="false">F84/B84</f>
        <v>5070.69253552723</v>
      </c>
      <c r="H84" s="148" t="n">
        <f aca="false">24/(15+22+24)*Y84</f>
        <v>171481.602110557</v>
      </c>
      <c r="I84" s="148" t="n">
        <f aca="false">H84/B84</f>
        <v>5531.66458421153</v>
      </c>
      <c r="J84" s="148" t="n">
        <f aca="false">5000*B84</f>
        <v>155000</v>
      </c>
      <c r="K84" s="148"/>
      <c r="L84" s="148" t="n">
        <f aca="false">S84-J84-C84+AB84</f>
        <v>9083951.2</v>
      </c>
      <c r="M84" s="148" t="n">
        <f aca="false">L84/B84</f>
        <v>293030.683870968</v>
      </c>
      <c r="N84" s="149"/>
      <c r="O84" s="149"/>
      <c r="P84" s="44" t="n">
        <f aca="false">S84+Y84+AB84+V84</f>
        <v>9767782.272031</v>
      </c>
      <c r="Q84" s="148" t="n">
        <f aca="false">P84/B84</f>
        <v>315089.750710677</v>
      </c>
      <c r="R84" s="12"/>
      <c r="S84" s="148" t="n">
        <v>9238951.2</v>
      </c>
      <c r="T84" s="150" t="n">
        <v>0.521596097385906</v>
      </c>
      <c r="U84" s="148"/>
      <c r="V84" s="148" t="n">
        <v>92982</v>
      </c>
      <c r="W84" s="150" t="n">
        <v>0.51</v>
      </c>
      <c r="X84" s="148"/>
      <c r="Y84" s="151" t="n">
        <v>435849.072031</v>
      </c>
      <c r="Z84" s="152" t="n">
        <v>0.5216</v>
      </c>
      <c r="AA84" s="156"/>
      <c r="AB84" s="148"/>
      <c r="AC84" s="153"/>
      <c r="AD84" s="148"/>
      <c r="AE84" s="148"/>
      <c r="AF84" s="148"/>
      <c r="AG84" s="154"/>
      <c r="AH84" s="12"/>
      <c r="AI84" s="12"/>
      <c r="AJ84" s="12"/>
      <c r="AK84" s="130" t="n">
        <f aca="false">468000+260000+100000</f>
        <v>828000</v>
      </c>
    </row>
    <row r="85" customFormat="false" ht="12.75" hidden="false" customHeight="false" outlineLevel="0" collapsed="false">
      <c r="A85" s="146" t="n">
        <v>38749</v>
      </c>
      <c r="B85" s="147" t="n">
        <v>28</v>
      </c>
      <c r="C85" s="148"/>
      <c r="D85" s="148" t="n">
        <f aca="false">15/(15+22+24)*Y85</f>
        <v>70801.7778420492</v>
      </c>
      <c r="E85" s="148" t="n">
        <f aca="false">D85/B85</f>
        <v>2528.63492293033</v>
      </c>
      <c r="F85" s="148" t="n">
        <f aca="false">22/(15+22+24)*Y85</f>
        <v>103842.607501672</v>
      </c>
      <c r="G85" s="148" t="n">
        <f aca="false">F85/B85</f>
        <v>3708.66455363115</v>
      </c>
      <c r="H85" s="148" t="n">
        <f aca="false">24/(15+22+24)*Y85</f>
        <v>113282.844547279</v>
      </c>
      <c r="I85" s="148" t="n">
        <f aca="false">H85/B85</f>
        <v>4045.81587668853</v>
      </c>
      <c r="J85" s="148" t="n">
        <f aca="false">5000*B85</f>
        <v>140000</v>
      </c>
      <c r="K85" s="148"/>
      <c r="L85" s="148" t="n">
        <f aca="false">S85-J85-C85+AB85</f>
        <v>6373205.9</v>
      </c>
      <c r="M85" s="148" t="n">
        <f aca="false">L85/B85</f>
        <v>227614.496428571</v>
      </c>
      <c r="N85" s="149"/>
      <c r="O85" s="149"/>
      <c r="P85" s="44" t="n">
        <f aca="false">S85+Y85+AB85+V85</f>
        <v>6866490.129891</v>
      </c>
      <c r="Q85" s="148" t="n">
        <f aca="false">P85/B85</f>
        <v>245231.79035325</v>
      </c>
      <c r="R85" s="12"/>
      <c r="S85" s="148" t="n">
        <v>6513205.9</v>
      </c>
      <c r="T85" s="150" t="n">
        <v>0.52580422149083</v>
      </c>
      <c r="U85" s="148"/>
      <c r="V85" s="148" t="n">
        <v>65357</v>
      </c>
      <c r="W85" s="150" t="n">
        <v>0.51</v>
      </c>
      <c r="X85" s="148"/>
      <c r="Y85" s="151" t="n">
        <v>287927.229891</v>
      </c>
      <c r="Z85" s="152" t="n">
        <v>0.5258</v>
      </c>
      <c r="AA85" s="156"/>
      <c r="AB85" s="148"/>
      <c r="AC85" s="153"/>
      <c r="AD85" s="148"/>
      <c r="AE85" s="148"/>
      <c r="AF85" s="148"/>
      <c r="AG85" s="154"/>
      <c r="AH85" s="12"/>
      <c r="AI85" s="12"/>
      <c r="AJ85" s="12"/>
      <c r="AK85" s="130" t="n">
        <f aca="false">468000+260000+100000</f>
        <v>828000</v>
      </c>
    </row>
    <row r="86" customFormat="false" ht="12.75" hidden="false" customHeight="false" outlineLevel="0" collapsed="false">
      <c r="A86" s="146" t="n">
        <v>38777</v>
      </c>
      <c r="B86" s="147" t="n">
        <v>31</v>
      </c>
      <c r="C86" s="148"/>
      <c r="D86" s="148" t="n">
        <f aca="false">15/(15+22+24)*Y86</f>
        <v>61091.5671595082</v>
      </c>
      <c r="E86" s="148" t="n">
        <f aca="false">D86/B86</f>
        <v>1970.69571482285</v>
      </c>
      <c r="F86" s="148" t="n">
        <f aca="false">22/(15+22+24)*Y86</f>
        <v>89600.9651672787</v>
      </c>
      <c r="G86" s="148" t="n">
        <f aca="false">F86/B86</f>
        <v>2890.35371507351</v>
      </c>
      <c r="H86" s="148" t="n">
        <f aca="false">24/(15+22+24)*Y86</f>
        <v>97746.5074552131</v>
      </c>
      <c r="I86" s="148" t="n">
        <f aca="false">H86/B86</f>
        <v>3153.11314371655</v>
      </c>
      <c r="J86" s="148" t="n">
        <f aca="false">5000*B86</f>
        <v>155000</v>
      </c>
      <c r="K86" s="148"/>
      <c r="L86" s="148" t="n">
        <f aca="false">S86-J86-C86+AB86</f>
        <v>5264828.6</v>
      </c>
      <c r="M86" s="148" t="n">
        <f aca="false">L86/B86</f>
        <v>169833.180645161</v>
      </c>
      <c r="N86" s="149"/>
      <c r="O86" s="149"/>
      <c r="P86" s="44" t="n">
        <f aca="false">S86+Y86+AB86+V86</f>
        <v>5722633.639782</v>
      </c>
      <c r="Q86" s="148" t="n">
        <f aca="false">P86/B86</f>
        <v>184601.085154258</v>
      </c>
      <c r="R86" s="12"/>
      <c r="S86" s="148" t="n">
        <v>5419828.6</v>
      </c>
      <c r="T86" s="150" t="n">
        <v>0.528168954078636</v>
      </c>
      <c r="U86" s="148"/>
      <c r="V86" s="148" t="n">
        <v>54366</v>
      </c>
      <c r="W86" s="150" t="n">
        <v>0.51</v>
      </c>
      <c r="X86" s="148"/>
      <c r="Y86" s="151" t="n">
        <v>248439.039782</v>
      </c>
      <c r="Z86" s="152" t="n">
        <v>0.5282</v>
      </c>
      <c r="AA86" s="156"/>
      <c r="AB86" s="148"/>
      <c r="AC86" s="153"/>
      <c r="AD86" s="148"/>
      <c r="AE86" s="148"/>
      <c r="AF86" s="148"/>
      <c r="AG86" s="154"/>
      <c r="AH86" s="12"/>
      <c r="AI86" s="12"/>
      <c r="AJ86" s="12"/>
      <c r="AK86" s="130" t="n">
        <f aca="false">468000+260000+100000</f>
        <v>828000</v>
      </c>
    </row>
    <row r="87" customFormat="false" ht="12.75" hidden="false" customHeight="false" outlineLevel="0" collapsed="false">
      <c r="A87" s="146" t="n">
        <v>38808</v>
      </c>
      <c r="B87" s="147" t="n">
        <v>30</v>
      </c>
      <c r="C87" s="148"/>
      <c r="D87" s="148"/>
      <c r="E87" s="148"/>
      <c r="F87" s="148"/>
      <c r="G87" s="148"/>
      <c r="H87" s="148"/>
      <c r="I87" s="148"/>
      <c r="J87" s="148"/>
      <c r="K87" s="148"/>
      <c r="L87" s="148" t="n">
        <f aca="false">S87-J87-C87+AB87</f>
        <v>3075714</v>
      </c>
      <c r="M87" s="148" t="n">
        <f aca="false">L87/B87</f>
        <v>102523.8</v>
      </c>
      <c r="N87" s="149"/>
      <c r="O87" s="149"/>
      <c r="P87" s="44" t="n">
        <f aca="false">S87+Y87+AB87+V87</f>
        <v>3104909</v>
      </c>
      <c r="Q87" s="148" t="n">
        <f aca="false">P87/B87</f>
        <v>103496.966666667</v>
      </c>
      <c r="R87" s="12"/>
      <c r="S87" s="148" t="n">
        <v>3075714</v>
      </c>
      <c r="T87" s="150" t="n">
        <v>0.53</v>
      </c>
      <c r="U87" s="148"/>
      <c r="V87" s="148" t="n">
        <v>29195</v>
      </c>
      <c r="W87" s="150" t="n">
        <v>0.5</v>
      </c>
      <c r="X87" s="148"/>
      <c r="Y87" s="151"/>
      <c r="Z87" s="152"/>
      <c r="AA87" s="148"/>
      <c r="AB87" s="148"/>
      <c r="AC87" s="153"/>
      <c r="AD87" s="148"/>
      <c r="AE87" s="148"/>
      <c r="AF87" s="148"/>
      <c r="AG87" s="154"/>
      <c r="AH87" s="12"/>
      <c r="AI87" s="12"/>
      <c r="AJ87" s="12"/>
    </row>
    <row r="88" customFormat="false" ht="12.75" hidden="false" customHeight="false" outlineLevel="0" collapsed="false">
      <c r="A88" s="146" t="n">
        <v>38838</v>
      </c>
      <c r="B88" s="147" t="n">
        <v>31</v>
      </c>
      <c r="C88" s="148"/>
      <c r="D88" s="148"/>
      <c r="E88" s="148"/>
      <c r="F88" s="148"/>
      <c r="G88" s="148"/>
      <c r="H88" s="148"/>
      <c r="I88" s="148"/>
      <c r="J88" s="148"/>
      <c r="K88" s="148"/>
      <c r="L88" s="148" t="n">
        <f aca="false">S88-J88-C88+AB88</f>
        <v>2415182</v>
      </c>
      <c r="M88" s="148" t="n">
        <f aca="false">L88/B88</f>
        <v>77909.0967741936</v>
      </c>
      <c r="N88" s="149"/>
      <c r="O88" s="149"/>
      <c r="P88" s="44" t="n">
        <f aca="false">S88+Y88+AB88+V88</f>
        <v>2438293</v>
      </c>
      <c r="Q88" s="148" t="n">
        <f aca="false">P88/B88</f>
        <v>78654.6129032258</v>
      </c>
      <c r="R88" s="12"/>
      <c r="S88" s="148" t="n">
        <v>2415182</v>
      </c>
      <c r="T88" s="150" t="n">
        <v>0.53</v>
      </c>
      <c r="U88" s="148"/>
      <c r="V88" s="148" t="n">
        <v>23111</v>
      </c>
      <c r="W88" s="150" t="n">
        <v>0.5</v>
      </c>
      <c r="X88" s="148"/>
      <c r="Y88" s="151"/>
      <c r="Z88" s="152"/>
      <c r="AA88" s="148"/>
      <c r="AB88" s="148"/>
      <c r="AC88" s="153"/>
      <c r="AD88" s="148"/>
      <c r="AE88" s="148"/>
      <c r="AF88" s="148"/>
      <c r="AG88" s="154"/>
      <c r="AH88" s="12"/>
      <c r="AI88" s="12"/>
      <c r="AJ88" s="12"/>
    </row>
    <row r="89" customFormat="false" ht="12.75" hidden="false" customHeight="false" outlineLevel="0" collapsed="false">
      <c r="A89" s="146" t="n">
        <v>38869</v>
      </c>
      <c r="B89" s="147" t="n">
        <v>30</v>
      </c>
      <c r="C89" s="148"/>
      <c r="D89" s="148"/>
      <c r="E89" s="148"/>
      <c r="F89" s="148"/>
      <c r="G89" s="148"/>
      <c r="H89" s="148"/>
      <c r="I89" s="148"/>
      <c r="J89" s="148"/>
      <c r="K89" s="148"/>
      <c r="L89" s="148" t="n">
        <f aca="false">S89-J89-C89+AB89</f>
        <v>1830869</v>
      </c>
      <c r="M89" s="148" t="n">
        <f aca="false">L89/B89</f>
        <v>61028.9666666667</v>
      </c>
      <c r="N89" s="149"/>
      <c r="O89" s="149"/>
      <c r="P89" s="44" t="n">
        <f aca="false">S89+Y89+AB89+V89</f>
        <v>1848337</v>
      </c>
      <c r="Q89" s="148" t="n">
        <f aca="false">P89/B89</f>
        <v>61611.2333333333</v>
      </c>
      <c r="R89" s="12"/>
      <c r="S89" s="148" t="n">
        <v>1830869</v>
      </c>
      <c r="T89" s="150" t="n">
        <v>0.53</v>
      </c>
      <c r="U89" s="148"/>
      <c r="V89" s="148" t="n">
        <v>17468</v>
      </c>
      <c r="W89" s="150" t="n">
        <v>0.5</v>
      </c>
      <c r="X89" s="148"/>
      <c r="Y89" s="151"/>
      <c r="Z89" s="152"/>
      <c r="AA89" s="148"/>
      <c r="AB89" s="148"/>
      <c r="AC89" s="153"/>
      <c r="AD89" s="148"/>
      <c r="AE89" s="148"/>
      <c r="AF89" s="148"/>
      <c r="AG89" s="154"/>
      <c r="AH89" s="12"/>
      <c r="AI89" s="12"/>
      <c r="AJ89" s="12"/>
    </row>
    <row r="90" customFormat="false" ht="12.75" hidden="false" customHeight="false" outlineLevel="0" collapsed="false">
      <c r="A90" s="146" t="n">
        <v>38899</v>
      </c>
      <c r="B90" s="147" t="n">
        <v>31</v>
      </c>
      <c r="C90" s="148"/>
      <c r="D90" s="148"/>
      <c r="E90" s="148"/>
      <c r="F90" s="148"/>
      <c r="G90" s="148"/>
      <c r="H90" s="148"/>
      <c r="I90" s="148"/>
      <c r="J90" s="148"/>
      <c r="K90" s="148"/>
      <c r="L90" s="148" t="n">
        <f aca="false">S90-J90-C90+AB90</f>
        <v>1914774</v>
      </c>
      <c r="M90" s="148" t="n">
        <f aca="false">L90/B90</f>
        <v>61766.9032258065</v>
      </c>
      <c r="N90" s="149"/>
      <c r="O90" s="149"/>
      <c r="P90" s="44" t="n">
        <f aca="false">S90+Y90+AB90+V90</f>
        <v>1932831</v>
      </c>
      <c r="Q90" s="148" t="n">
        <f aca="false">P90/B90</f>
        <v>62349.3870967742</v>
      </c>
      <c r="R90" s="12"/>
      <c r="S90" s="148" t="n">
        <v>1914774</v>
      </c>
      <c r="T90" s="150" t="n">
        <v>0.53</v>
      </c>
      <c r="U90" s="148"/>
      <c r="V90" s="148" t="n">
        <v>18057</v>
      </c>
      <c r="W90" s="150" t="n">
        <v>0.5</v>
      </c>
      <c r="X90" s="148"/>
      <c r="Y90" s="151"/>
      <c r="Z90" s="152"/>
      <c r="AA90" s="148"/>
      <c r="AB90" s="148"/>
      <c r="AC90" s="153"/>
      <c r="AD90" s="148"/>
      <c r="AE90" s="148"/>
      <c r="AF90" s="148"/>
      <c r="AG90" s="154"/>
      <c r="AH90" s="12"/>
      <c r="AI90" s="12"/>
      <c r="AJ90" s="12"/>
    </row>
    <row r="91" customFormat="false" ht="12.75" hidden="false" customHeight="false" outlineLevel="0" collapsed="false">
      <c r="A91" s="146" t="n">
        <v>38930</v>
      </c>
      <c r="B91" s="147" t="n">
        <v>31</v>
      </c>
      <c r="C91" s="148"/>
      <c r="D91" s="148"/>
      <c r="E91" s="148"/>
      <c r="F91" s="148"/>
      <c r="G91" s="148"/>
      <c r="H91" s="148"/>
      <c r="I91" s="148"/>
      <c r="J91" s="148"/>
      <c r="K91" s="148"/>
      <c r="L91" s="148" t="n">
        <f aca="false">S91-J91-C91+AB91</f>
        <v>2345792</v>
      </c>
      <c r="M91" s="148" t="n">
        <f aca="false">L91/B91</f>
        <v>75670.7096774194</v>
      </c>
      <c r="N91" s="149"/>
      <c r="O91" s="149"/>
      <c r="P91" s="44" t="n">
        <f aca="false">S91+Y91+AB91+V91</f>
        <v>2368412</v>
      </c>
      <c r="Q91" s="148" t="n">
        <f aca="false">P91/B91</f>
        <v>76400.3870967742</v>
      </c>
      <c r="R91" s="12"/>
      <c r="S91" s="148" t="n">
        <v>2345792</v>
      </c>
      <c r="T91" s="150" t="n">
        <v>0.53</v>
      </c>
      <c r="U91" s="148"/>
      <c r="V91" s="148" t="n">
        <v>22620</v>
      </c>
      <c r="W91" s="150" t="n">
        <v>0.5</v>
      </c>
      <c r="X91" s="148"/>
      <c r="Y91" s="151"/>
      <c r="Z91" s="152"/>
      <c r="AA91" s="148"/>
      <c r="AB91" s="148"/>
      <c r="AC91" s="153"/>
      <c r="AD91" s="148"/>
      <c r="AE91" s="148"/>
      <c r="AF91" s="148"/>
      <c r="AG91" s="154"/>
      <c r="AH91" s="12"/>
      <c r="AI91" s="12"/>
      <c r="AJ91" s="12"/>
    </row>
    <row r="92" customFormat="false" ht="12.75" hidden="false" customHeight="false" outlineLevel="0" collapsed="false">
      <c r="A92" s="146" t="n">
        <v>38961</v>
      </c>
      <c r="B92" s="147" t="n">
        <v>30</v>
      </c>
      <c r="C92" s="148"/>
      <c r="D92" s="148"/>
      <c r="E92" s="148"/>
      <c r="F92" s="148"/>
      <c r="G92" s="148"/>
      <c r="H92" s="148"/>
      <c r="I92" s="148"/>
      <c r="J92" s="148"/>
      <c r="K92" s="148"/>
      <c r="L92" s="148" t="n">
        <f aca="false">S92-J92-C92+AB92</f>
        <v>2043178</v>
      </c>
      <c r="M92" s="148" t="n">
        <f aca="false">L92/B92</f>
        <v>68105.9333333333</v>
      </c>
      <c r="N92" s="149"/>
      <c r="O92" s="149"/>
      <c r="P92" s="44" t="n">
        <f aca="false">S92+Y92+AB92+V92</f>
        <v>2062805</v>
      </c>
      <c r="Q92" s="148" t="n">
        <f aca="false">P92/B92</f>
        <v>68760.1666666667</v>
      </c>
      <c r="R92" s="12"/>
      <c r="S92" s="148" t="n">
        <v>2043178</v>
      </c>
      <c r="T92" s="150" t="n">
        <v>0.53</v>
      </c>
      <c r="U92" s="148"/>
      <c r="V92" s="148" t="n">
        <v>19627</v>
      </c>
      <c r="W92" s="150" t="n">
        <v>0.5</v>
      </c>
      <c r="X92" s="148"/>
      <c r="Y92" s="151"/>
      <c r="Z92" s="152"/>
      <c r="AA92" s="148"/>
      <c r="AB92" s="148"/>
      <c r="AC92" s="153"/>
      <c r="AD92" s="148"/>
      <c r="AE92" s="148"/>
      <c r="AF92" s="148"/>
      <c r="AG92" s="154"/>
      <c r="AH92" s="12"/>
      <c r="AI92" s="12"/>
      <c r="AJ92" s="12"/>
    </row>
    <row r="93" customFormat="false" ht="12.75" hidden="false" customHeight="false" outlineLevel="0" collapsed="false">
      <c r="A93" s="146" t="n">
        <v>38991</v>
      </c>
      <c r="B93" s="147" t="n">
        <v>31</v>
      </c>
      <c r="C93" s="148"/>
      <c r="D93" s="148"/>
      <c r="E93" s="148"/>
      <c r="F93" s="148"/>
      <c r="G93" s="148"/>
      <c r="H93" s="148"/>
      <c r="I93" s="148"/>
      <c r="J93" s="148"/>
      <c r="K93" s="148"/>
      <c r="L93" s="148" t="n">
        <f aca="false">S93-J93-C93+AB93</f>
        <v>2645865</v>
      </c>
      <c r="M93" s="148" t="n">
        <f aca="false">L93/B93</f>
        <v>85350.4838709677</v>
      </c>
      <c r="N93" s="149"/>
      <c r="O93" s="149"/>
      <c r="P93" s="44" t="n">
        <f aca="false">S93+Y93+AB93+V93</f>
        <v>2670791</v>
      </c>
      <c r="Q93" s="148" t="n">
        <f aca="false">P93/B93</f>
        <v>86154.5483870968</v>
      </c>
      <c r="R93" s="12"/>
      <c r="S93" s="148" t="n">
        <v>2645865</v>
      </c>
      <c r="T93" s="150" t="n">
        <v>0.53</v>
      </c>
      <c r="U93" s="148"/>
      <c r="V93" s="148" t="n">
        <v>24926</v>
      </c>
      <c r="W93" s="150" t="n">
        <v>0.5</v>
      </c>
      <c r="X93" s="148"/>
      <c r="Y93" s="151"/>
      <c r="Z93" s="152"/>
      <c r="AA93" s="148"/>
      <c r="AB93" s="148"/>
      <c r="AC93" s="153"/>
      <c r="AD93" s="148"/>
      <c r="AE93" s="148"/>
      <c r="AF93" s="148"/>
      <c r="AG93" s="154"/>
      <c r="AH93" s="12"/>
      <c r="AI93" s="12"/>
      <c r="AJ93" s="12"/>
    </row>
    <row r="94" customFormat="false" ht="12.75" hidden="false" customHeight="false" outlineLevel="0" collapsed="false">
      <c r="A94" s="146" t="n">
        <v>39022</v>
      </c>
      <c r="B94" s="147" t="n">
        <v>30</v>
      </c>
      <c r="C94" s="148"/>
      <c r="D94" s="148"/>
      <c r="E94" s="148"/>
      <c r="F94" s="148"/>
      <c r="G94" s="148"/>
      <c r="H94" s="148"/>
      <c r="I94" s="148"/>
      <c r="J94" s="148"/>
      <c r="K94" s="148"/>
      <c r="L94" s="148" t="n">
        <f aca="false">S94-J94-C94+AB94</f>
        <v>4771187</v>
      </c>
      <c r="M94" s="148" t="n">
        <f aca="false">L94/B94</f>
        <v>159039.566666667</v>
      </c>
      <c r="N94" s="149"/>
      <c r="O94" s="149"/>
      <c r="P94" s="44" t="n">
        <f aca="false">S94+Y94+AB94+V94</f>
        <v>4816721</v>
      </c>
      <c r="Q94" s="148" t="n">
        <f aca="false">P94/B94</f>
        <v>160557.366666667</v>
      </c>
      <c r="R94" s="12"/>
      <c r="S94" s="148" t="n">
        <v>4771187</v>
      </c>
      <c r="T94" s="150" t="n">
        <v>0.49229</v>
      </c>
      <c r="U94" s="148"/>
      <c r="V94" s="148" t="n">
        <v>45534</v>
      </c>
      <c r="W94" s="150" t="n">
        <v>0.5</v>
      </c>
      <c r="X94" s="148"/>
      <c r="Y94" s="151"/>
      <c r="Z94" s="152"/>
      <c r="AA94" s="148"/>
      <c r="AB94" s="148"/>
      <c r="AC94" s="153"/>
      <c r="AD94" s="148"/>
      <c r="AE94" s="148"/>
      <c r="AF94" s="148"/>
      <c r="AG94" s="154"/>
      <c r="AH94" s="12"/>
      <c r="AI94" s="12"/>
      <c r="AJ94" s="12"/>
    </row>
    <row r="95" customFormat="false" ht="12.75" hidden="false" customHeight="false" outlineLevel="0" collapsed="false">
      <c r="A95" s="146" t="n">
        <v>39052</v>
      </c>
      <c r="B95" s="147" t="n">
        <v>31</v>
      </c>
      <c r="C95" s="148"/>
      <c r="D95" s="148"/>
      <c r="E95" s="148"/>
      <c r="F95" s="148"/>
      <c r="G95" s="148"/>
      <c r="H95" s="148"/>
      <c r="I95" s="148"/>
      <c r="J95" s="148"/>
      <c r="K95" s="148"/>
      <c r="L95" s="148" t="n">
        <f aca="false">S95-J95-C95+AB95</f>
        <v>7921915</v>
      </c>
      <c r="M95" s="148" t="n">
        <f aca="false">L95/B95</f>
        <v>255545.64516129</v>
      </c>
      <c r="N95" s="149"/>
      <c r="O95" s="149"/>
      <c r="P95" s="44" t="n">
        <f aca="false">S95+Y95+AB95+V95</f>
        <v>7999343</v>
      </c>
      <c r="Q95" s="148" t="n">
        <f aca="false">P95/B95</f>
        <v>258043.322580645</v>
      </c>
      <c r="R95" s="12"/>
      <c r="S95" s="148" t="n">
        <v>7921915</v>
      </c>
      <c r="T95" s="150" t="n">
        <v>0.4955</v>
      </c>
      <c r="U95" s="148"/>
      <c r="V95" s="148" t="n">
        <v>77428</v>
      </c>
      <c r="W95" s="150" t="n">
        <v>0.5</v>
      </c>
      <c r="X95" s="148"/>
      <c r="Y95" s="151"/>
      <c r="Z95" s="152"/>
      <c r="AA95" s="148"/>
      <c r="AB95" s="148"/>
      <c r="AC95" s="153"/>
      <c r="AD95" s="148"/>
      <c r="AE95" s="148"/>
      <c r="AF95" s="148"/>
      <c r="AG95" s="154"/>
      <c r="AH95" s="12"/>
      <c r="AI95" s="12"/>
      <c r="AJ95" s="12"/>
    </row>
    <row r="96" customFormat="false" ht="12.75" hidden="false" customHeight="false" outlineLevel="0" collapsed="false">
      <c r="A96" s="146" t="n">
        <v>39083</v>
      </c>
      <c r="B96" s="147" t="n">
        <v>31</v>
      </c>
      <c r="C96" s="148"/>
      <c r="D96" s="148"/>
      <c r="E96" s="148"/>
      <c r="F96" s="148"/>
      <c r="G96" s="148"/>
      <c r="H96" s="148"/>
      <c r="I96" s="148"/>
      <c r="J96" s="148"/>
      <c r="K96" s="148"/>
      <c r="L96" s="148" t="n">
        <f aca="false">S96-J96-C96+AB96</f>
        <v>9674800</v>
      </c>
      <c r="M96" s="148" t="n">
        <f aca="false">L96/B96</f>
        <v>312090.322580645</v>
      </c>
      <c r="N96" s="149"/>
      <c r="O96" s="149"/>
      <c r="P96" s="44" t="n">
        <f aca="false">S96+Y96+AB96+V96</f>
        <v>9767782</v>
      </c>
      <c r="Q96" s="148" t="n">
        <f aca="false">P96/B96</f>
        <v>315089.741935484</v>
      </c>
      <c r="R96" s="12"/>
      <c r="S96" s="148" t="n">
        <v>9674800</v>
      </c>
      <c r="T96" s="150" t="n">
        <v>0.50278</v>
      </c>
      <c r="U96" s="148"/>
      <c r="V96" s="148" t="n">
        <v>92982</v>
      </c>
      <c r="W96" s="150" t="n">
        <v>0.5</v>
      </c>
      <c r="X96" s="148"/>
      <c r="Y96" s="151"/>
      <c r="Z96" s="152"/>
      <c r="AA96" s="148"/>
      <c r="AB96" s="148"/>
      <c r="AC96" s="153"/>
      <c r="AD96" s="148"/>
      <c r="AE96" s="148"/>
      <c r="AF96" s="148"/>
      <c r="AG96" s="154"/>
      <c r="AH96" s="12"/>
      <c r="AI96" s="12"/>
      <c r="AJ96" s="12"/>
    </row>
    <row r="97" customFormat="false" ht="12.75" hidden="false" customHeight="false" outlineLevel="0" collapsed="false">
      <c r="A97" s="146" t="n">
        <v>39114</v>
      </c>
      <c r="B97" s="4" t="n">
        <v>28</v>
      </c>
      <c r="C97" s="12"/>
      <c r="D97" s="12"/>
      <c r="E97" s="12"/>
      <c r="F97" s="12"/>
      <c r="G97" s="12"/>
      <c r="H97" s="12"/>
      <c r="I97" s="12"/>
      <c r="J97" s="12"/>
      <c r="K97" s="12"/>
      <c r="L97" s="148" t="n">
        <f aca="false">S97-J97-C97+AB97</f>
        <v>6801133</v>
      </c>
      <c r="M97" s="148" t="n">
        <f aca="false">L97/B97</f>
        <v>242897.607142857</v>
      </c>
      <c r="N97" s="12"/>
      <c r="O97" s="12"/>
      <c r="P97" s="44" t="n">
        <f aca="false">S97+Y97+AB97+V97</f>
        <v>6866490</v>
      </c>
      <c r="Q97" s="148" t="n">
        <f aca="false">P97/B97</f>
        <v>245231.785714286</v>
      </c>
      <c r="R97" s="12"/>
      <c r="S97" s="148" t="n">
        <v>6801133</v>
      </c>
      <c r="T97" s="150" t="n">
        <v>0.50333</v>
      </c>
      <c r="U97" s="12"/>
      <c r="V97" s="148" t="n">
        <v>65357</v>
      </c>
      <c r="W97" s="150" t="n">
        <v>0.5</v>
      </c>
      <c r="X97" s="12"/>
      <c r="Y97" s="154"/>
      <c r="Z97" s="154"/>
      <c r="AA97" s="154"/>
      <c r="AB97" s="154"/>
      <c r="AC97" s="154"/>
      <c r="AD97" s="154"/>
      <c r="AE97" s="154"/>
      <c r="AF97" s="154"/>
      <c r="AG97" s="154"/>
      <c r="AH97" s="12"/>
      <c r="AI97" s="12"/>
      <c r="AJ97" s="12"/>
    </row>
    <row r="98" customFormat="false" ht="12.75" hidden="false" customHeight="false" outlineLevel="0" collapsed="false">
      <c r="A98" s="146" t="n">
        <v>39142</v>
      </c>
      <c r="B98" s="4" t="n">
        <v>31</v>
      </c>
      <c r="C98" s="12"/>
      <c r="D98" s="12"/>
      <c r="E98" s="12"/>
      <c r="F98" s="12"/>
      <c r="G98" s="12"/>
      <c r="H98" s="12"/>
      <c r="I98" s="12"/>
      <c r="J98" s="12"/>
      <c r="K98" s="12"/>
      <c r="L98" s="148" t="n">
        <f aca="false">S98-J98-C98+AB98</f>
        <v>5668268</v>
      </c>
      <c r="M98" s="148" t="n">
        <f aca="false">L98/B98</f>
        <v>182847.35483871</v>
      </c>
      <c r="N98" s="12"/>
      <c r="O98" s="12"/>
      <c r="P98" s="44" t="n">
        <f aca="false">S98+Y98+AB98+V98</f>
        <v>5722634</v>
      </c>
      <c r="Q98" s="148" t="n">
        <f aca="false">P98/B98</f>
        <v>184601.096774194</v>
      </c>
      <c r="R98" s="12"/>
      <c r="S98" s="148" t="n">
        <v>5668268</v>
      </c>
      <c r="T98" s="150" t="n">
        <v>0.50332</v>
      </c>
      <c r="U98" s="12"/>
      <c r="V98" s="148" t="n">
        <v>54366</v>
      </c>
      <c r="W98" s="150" t="n">
        <v>0.5</v>
      </c>
      <c r="X98" s="12"/>
      <c r="Y98" s="154"/>
      <c r="Z98" s="154"/>
      <c r="AA98" s="154"/>
      <c r="AB98" s="154"/>
      <c r="AC98" s="154"/>
      <c r="AD98" s="154"/>
      <c r="AE98" s="154"/>
      <c r="AF98" s="154"/>
      <c r="AG98" s="154"/>
      <c r="AH98" s="12"/>
      <c r="AI98" s="12"/>
      <c r="AJ98" s="12"/>
    </row>
    <row r="99" customFormat="false" ht="12.75" hidden="false" customHeight="false" outlineLevel="0" collapsed="false">
      <c r="A99" s="4"/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58"/>
      <c r="M99" s="12"/>
      <c r="N99" s="12"/>
      <c r="O99" s="12"/>
      <c r="P99" s="12"/>
      <c r="Q99" s="12"/>
      <c r="R99" s="12"/>
      <c r="S99" s="154"/>
      <c r="T99" s="12"/>
      <c r="U99" s="12"/>
      <c r="V99" s="148"/>
      <c r="W99" s="12"/>
      <c r="X99" s="12"/>
      <c r="Y99" s="154"/>
      <c r="Z99" s="154"/>
      <c r="AA99" s="154"/>
      <c r="AB99" s="154"/>
      <c r="AC99" s="154"/>
      <c r="AD99" s="154"/>
      <c r="AE99" s="154"/>
      <c r="AF99" s="154"/>
      <c r="AG99" s="154"/>
      <c r="AH99" s="12"/>
      <c r="AI99" s="12"/>
      <c r="AJ99" s="12"/>
    </row>
    <row r="100" customFormat="false" ht="12.75" hidden="false" customHeight="false" outlineLevel="0" collapsed="false">
      <c r="A100" s="4"/>
      <c r="B100" s="4"/>
      <c r="C100" s="12"/>
      <c r="D100" s="12"/>
      <c r="E100" s="12"/>
      <c r="F100" s="12"/>
      <c r="G100" s="12"/>
      <c r="H100" s="12"/>
      <c r="I100" s="12"/>
      <c r="J100" s="12"/>
      <c r="K100" s="12"/>
      <c r="L100" s="158"/>
      <c r="M100" s="12"/>
      <c r="N100" s="12"/>
      <c r="O100" s="12"/>
      <c r="P100" s="12"/>
      <c r="Q100" s="12"/>
      <c r="R100" s="12"/>
      <c r="S100" s="154"/>
      <c r="T100" s="154"/>
      <c r="U100" s="154"/>
      <c r="V100" s="148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2"/>
      <c r="AI100" s="12"/>
      <c r="AJ100" s="12"/>
    </row>
    <row r="101" customFormat="false" ht="12.75" hidden="false" customHeight="false" outlineLevel="0" collapsed="false">
      <c r="A101" s="4"/>
      <c r="B101" s="4"/>
      <c r="C101" s="12"/>
      <c r="D101" s="12"/>
      <c r="E101" s="12"/>
      <c r="F101" s="12"/>
      <c r="G101" s="12"/>
      <c r="H101" s="12"/>
      <c r="I101" s="12"/>
      <c r="J101" s="12"/>
      <c r="K101" s="12"/>
      <c r="L101" s="158"/>
      <c r="M101" s="12"/>
      <c r="N101" s="12"/>
      <c r="O101" s="12"/>
      <c r="P101" s="12"/>
      <c r="Q101" s="12"/>
      <c r="R101" s="12"/>
      <c r="S101" s="154"/>
      <c r="T101" s="154"/>
      <c r="U101" s="154"/>
      <c r="V101" s="148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2"/>
      <c r="AI101" s="12"/>
      <c r="AJ101" s="12"/>
    </row>
    <row r="102" customFormat="false" ht="12.75" hidden="false" customHeight="false" outlineLevel="0" collapsed="false">
      <c r="A102" s="159" t="s">
        <v>164</v>
      </c>
      <c r="B102" s="4"/>
      <c r="C102" s="12"/>
      <c r="D102" s="12"/>
      <c r="E102" s="12"/>
      <c r="F102" s="12"/>
      <c r="G102" s="12"/>
      <c r="H102" s="12"/>
      <c r="I102" s="12"/>
      <c r="J102" s="12"/>
      <c r="K102" s="12"/>
      <c r="L102" s="158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</row>
    <row r="103" customFormat="false" ht="12.75" hidden="false" customHeight="false" outlineLevel="0" collapsed="false">
      <c r="A103" s="159" t="s">
        <v>165</v>
      </c>
      <c r="B103" s="4"/>
      <c r="C103" s="12"/>
      <c r="D103" s="12"/>
      <c r="E103" s="12"/>
      <c r="F103" s="12"/>
      <c r="G103" s="12"/>
      <c r="H103" s="12"/>
      <c r="I103" s="12"/>
      <c r="J103" s="12"/>
      <c r="K103" s="12"/>
      <c r="L103" s="158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</row>
    <row r="104" customFormat="false" ht="12.75" hidden="false" customHeight="false" outlineLevel="0" collapsed="false">
      <c r="A104" s="159" t="s">
        <v>166</v>
      </c>
      <c r="B104" s="4"/>
      <c r="C104" s="12"/>
      <c r="D104" s="12"/>
      <c r="E104" s="12"/>
      <c r="F104" s="12"/>
      <c r="G104" s="12"/>
      <c r="H104" s="12"/>
      <c r="I104" s="12"/>
      <c r="J104" s="12"/>
      <c r="K104" s="12"/>
      <c r="L104" s="158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</row>
    <row r="105" customFormat="false" ht="12.75" hidden="false" customHeight="false" outlineLevel="0" collapsed="false">
      <c r="A105" s="159" t="s">
        <v>167</v>
      </c>
      <c r="B105" s="4"/>
      <c r="C105" s="12"/>
      <c r="D105" s="12"/>
      <c r="E105" s="12"/>
      <c r="F105" s="12"/>
      <c r="G105" s="12"/>
      <c r="H105" s="12"/>
      <c r="I105" s="12"/>
      <c r="J105" s="12"/>
      <c r="K105" s="12"/>
      <c r="L105" s="158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</row>
    <row r="106" customFormat="false" ht="12.75" hidden="false" customHeight="false" outlineLevel="0" collapsed="false">
      <c r="B106" s="4"/>
      <c r="C106" s="12"/>
      <c r="D106" s="12"/>
      <c r="E106" s="12"/>
      <c r="F106" s="12"/>
      <c r="G106" s="12"/>
      <c r="H106" s="12"/>
      <c r="I106" s="12"/>
      <c r="J106" s="12"/>
      <c r="K106" s="12"/>
      <c r="L106" s="158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</row>
    <row r="107" customFormat="false" ht="12.75" hidden="false" customHeight="false" outlineLevel="0" collapsed="false">
      <c r="A107" s="159" t="s">
        <v>168</v>
      </c>
      <c r="B107" s="4"/>
      <c r="C107" s="12"/>
      <c r="D107" s="12"/>
      <c r="E107" s="12"/>
      <c r="F107" s="12"/>
      <c r="G107" s="12"/>
      <c r="H107" s="12"/>
      <c r="I107" s="12"/>
      <c r="J107" s="12"/>
      <c r="K107" s="12"/>
      <c r="L107" s="158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</row>
    <row r="108" customFormat="false" ht="12.75" hidden="false" customHeight="false" outlineLevel="0" collapsed="false">
      <c r="A108" s="159" t="s">
        <v>169</v>
      </c>
      <c r="B108" s="4"/>
      <c r="C108" s="12"/>
      <c r="D108" s="12"/>
      <c r="E108" s="12"/>
      <c r="F108" s="12"/>
      <c r="G108" s="12"/>
      <c r="H108" s="12"/>
      <c r="I108" s="12"/>
      <c r="J108" s="12"/>
      <c r="K108" s="12"/>
      <c r="L108" s="158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</row>
    <row r="109" customFormat="false" ht="12.75" hidden="false" customHeight="false" outlineLevel="0" collapsed="false">
      <c r="B109" s="4"/>
      <c r="C109" s="12"/>
      <c r="D109" s="12"/>
      <c r="E109" s="12"/>
      <c r="F109" s="12"/>
      <c r="G109" s="12"/>
      <c r="H109" s="12"/>
      <c r="I109" s="12"/>
      <c r="J109" s="12"/>
      <c r="K109" s="12"/>
      <c r="L109" s="158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</row>
    <row r="110" customFormat="false" ht="12.75" hidden="false" customHeight="false" outlineLevel="0" collapsed="false">
      <c r="A110" s="159" t="s">
        <v>170</v>
      </c>
      <c r="B110" s="4"/>
      <c r="C110" s="12"/>
      <c r="D110" s="12"/>
      <c r="E110" s="12"/>
      <c r="F110" s="12"/>
      <c r="G110" s="12"/>
      <c r="H110" s="12"/>
      <c r="I110" s="12"/>
      <c r="J110" s="12"/>
      <c r="K110" s="12"/>
      <c r="L110" s="158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</row>
    <row r="111" customFormat="false" ht="12.75" hidden="false" customHeight="false" outlineLevel="0" collapsed="false">
      <c r="A111" s="159" t="s">
        <v>171</v>
      </c>
      <c r="B111" s="4"/>
      <c r="C111" s="12"/>
      <c r="D111" s="12"/>
      <c r="E111" s="12"/>
      <c r="F111" s="12"/>
      <c r="G111" s="12"/>
      <c r="H111" s="12"/>
      <c r="I111" s="12"/>
      <c r="J111" s="12"/>
      <c r="K111" s="12"/>
      <c r="L111" s="158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</row>
    <row r="112" customFormat="false" ht="12.75" hidden="false" customHeight="false" outlineLevel="0" collapsed="false">
      <c r="A112" s="4"/>
      <c r="B112" s="4"/>
      <c r="C112" s="12"/>
      <c r="D112" s="12"/>
      <c r="E112" s="12"/>
      <c r="F112" s="12"/>
      <c r="G112" s="12"/>
      <c r="H112" s="12"/>
      <c r="I112" s="12"/>
      <c r="J112" s="12"/>
      <c r="K112" s="12"/>
      <c r="L112" s="158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</row>
    <row r="113" customFormat="false" ht="12.75" hidden="false" customHeight="false" outlineLevel="0" collapsed="false">
      <c r="A113" s="4"/>
      <c r="B113" s="4"/>
      <c r="C113" s="12"/>
      <c r="D113" s="12"/>
      <c r="E113" s="12"/>
      <c r="F113" s="12"/>
      <c r="G113" s="12"/>
      <c r="H113" s="12"/>
      <c r="I113" s="12"/>
      <c r="J113" s="12"/>
      <c r="K113" s="12"/>
      <c r="L113" s="158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</row>
    <row r="114" customFormat="false" ht="12.75" hidden="false" customHeight="false" outlineLevel="0" collapsed="false">
      <c r="A114" s="4"/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58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</row>
    <row r="115" customFormat="false" ht="12.75" hidden="false" customHeight="false" outlineLevel="0" collapsed="false">
      <c r="A115" s="4"/>
      <c r="B115" s="4"/>
      <c r="C115" s="12"/>
      <c r="D115" s="12"/>
      <c r="E115" s="12"/>
      <c r="F115" s="12"/>
      <c r="G115" s="12"/>
      <c r="H115" s="12"/>
      <c r="I115" s="12"/>
      <c r="J115" s="12"/>
      <c r="K115" s="12"/>
      <c r="L115" s="158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</row>
    <row r="116" customFormat="false" ht="12.75" hidden="false" customHeight="false" outlineLevel="0" collapsed="false">
      <c r="A116" s="4"/>
      <c r="B116" s="4"/>
      <c r="C116" s="12"/>
      <c r="D116" s="12"/>
      <c r="E116" s="12"/>
      <c r="F116" s="12"/>
      <c r="G116" s="12"/>
      <c r="H116" s="12"/>
      <c r="I116" s="12"/>
      <c r="J116" s="12"/>
      <c r="K116" s="12"/>
      <c r="L116" s="158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</row>
    <row r="117" customFormat="false" ht="12.75" hidden="false" customHeight="false" outlineLevel="0" collapsed="false">
      <c r="A117" s="4"/>
      <c r="B117" s="4"/>
      <c r="C117" s="12"/>
      <c r="D117" s="12"/>
      <c r="E117" s="12"/>
      <c r="F117" s="12"/>
      <c r="G117" s="12"/>
      <c r="H117" s="12"/>
      <c r="I117" s="12"/>
      <c r="J117" s="12"/>
      <c r="K117" s="12"/>
      <c r="L117" s="158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</row>
    <row r="118" customFormat="false" ht="12.75" hidden="false" customHeight="false" outlineLevel="0" collapsed="false">
      <c r="A118" s="4"/>
      <c r="B118" s="4"/>
      <c r="C118" s="12"/>
      <c r="D118" s="12"/>
      <c r="E118" s="12"/>
      <c r="F118" s="12"/>
      <c r="G118" s="12"/>
      <c r="H118" s="12"/>
      <c r="I118" s="12"/>
      <c r="J118" s="12"/>
      <c r="K118" s="12"/>
      <c r="L118" s="158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</row>
    <row r="119" customFormat="false" ht="12.75" hidden="false" customHeight="false" outlineLevel="0" collapsed="false">
      <c r="A119" s="4"/>
      <c r="B119" s="4"/>
      <c r="C119" s="12"/>
      <c r="D119" s="12"/>
      <c r="E119" s="12"/>
      <c r="F119" s="12"/>
      <c r="G119" s="12"/>
      <c r="H119" s="12"/>
      <c r="I119" s="12"/>
      <c r="J119" s="12"/>
      <c r="K119" s="12"/>
      <c r="L119" s="158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</row>
    <row r="120" customFormat="false" ht="12.75" hidden="false" customHeight="false" outlineLevel="0" collapsed="false">
      <c r="A120" s="4"/>
      <c r="B120" s="4"/>
      <c r="C120" s="12"/>
      <c r="D120" s="12"/>
      <c r="E120" s="12"/>
      <c r="F120" s="12"/>
      <c r="G120" s="12"/>
      <c r="H120" s="12"/>
      <c r="I120" s="12"/>
      <c r="J120" s="12"/>
      <c r="K120" s="12"/>
      <c r="L120" s="158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</row>
    <row r="121" customFormat="false" ht="12.75" hidden="false" customHeight="false" outlineLevel="0" collapsed="false">
      <c r="A121" s="4"/>
      <c r="B121" s="4"/>
      <c r="C121" s="12"/>
      <c r="D121" s="12"/>
      <c r="E121" s="12"/>
      <c r="F121" s="12"/>
      <c r="G121" s="12"/>
      <c r="H121" s="12"/>
      <c r="I121" s="12"/>
      <c r="J121" s="12"/>
      <c r="K121" s="12"/>
      <c r="L121" s="158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</row>
    <row r="122" customFormat="false" ht="12.75" hidden="false" customHeight="false" outlineLevel="0" collapsed="false">
      <c r="A122" s="4"/>
      <c r="B122" s="4"/>
      <c r="C122" s="12"/>
      <c r="D122" s="12"/>
      <c r="E122" s="12"/>
      <c r="F122" s="12"/>
      <c r="G122" s="12"/>
      <c r="H122" s="12"/>
      <c r="I122" s="12"/>
      <c r="J122" s="12"/>
      <c r="K122" s="12"/>
      <c r="L122" s="158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</row>
    <row r="123" customFormat="false" ht="12.75" hidden="false" customHeight="false" outlineLevel="0" collapsed="false">
      <c r="A123" s="4"/>
      <c r="B123" s="4"/>
      <c r="C123" s="12"/>
      <c r="D123" s="12"/>
      <c r="E123" s="12"/>
      <c r="F123" s="12"/>
      <c r="G123" s="12"/>
      <c r="H123" s="12"/>
      <c r="I123" s="12"/>
      <c r="J123" s="12"/>
      <c r="K123" s="12"/>
      <c r="L123" s="158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</row>
    <row r="124" customFormat="false" ht="12.75" hidden="false" customHeight="false" outlineLevel="0" collapsed="false">
      <c r="A124" s="4"/>
      <c r="B124" s="4"/>
      <c r="C124" s="12"/>
      <c r="D124" s="12"/>
      <c r="E124" s="12"/>
      <c r="F124" s="12"/>
      <c r="G124" s="12"/>
      <c r="H124" s="12"/>
      <c r="I124" s="12"/>
      <c r="J124" s="12"/>
      <c r="K124" s="12"/>
      <c r="L124" s="158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</row>
    <row r="125" customFormat="false" ht="12.75" hidden="false" customHeight="false" outlineLevel="0" collapsed="false">
      <c r="A125" s="4"/>
      <c r="B125" s="4"/>
      <c r="C125" s="12"/>
      <c r="D125" s="12"/>
      <c r="E125" s="12"/>
      <c r="F125" s="12"/>
      <c r="G125" s="12"/>
      <c r="H125" s="12"/>
      <c r="I125" s="12"/>
      <c r="J125" s="12"/>
      <c r="K125" s="12"/>
      <c r="L125" s="158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</row>
    <row r="126" customFormat="false" ht="12.75" hidden="false" customHeight="false" outlineLevel="0" collapsed="false">
      <c r="A126" s="4"/>
      <c r="B126" s="4"/>
      <c r="C126" s="12"/>
      <c r="D126" s="12"/>
      <c r="E126" s="12"/>
      <c r="F126" s="12"/>
      <c r="G126" s="12"/>
      <c r="H126" s="12"/>
      <c r="I126" s="12"/>
      <c r="J126" s="12"/>
      <c r="K126" s="12"/>
      <c r="L126" s="158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</row>
    <row r="127" customFormat="false" ht="12.75" hidden="false" customHeight="false" outlineLevel="0" collapsed="false">
      <c r="A127" s="4"/>
      <c r="B127" s="4"/>
      <c r="C127" s="12"/>
      <c r="D127" s="12"/>
      <c r="E127" s="12"/>
      <c r="F127" s="12"/>
      <c r="G127" s="12"/>
      <c r="H127" s="12"/>
      <c r="I127" s="12"/>
      <c r="J127" s="12"/>
      <c r="K127" s="12"/>
      <c r="L127" s="158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</row>
    <row r="128" customFormat="false" ht="12.75" hidden="false" customHeight="false" outlineLevel="0" collapsed="false">
      <c r="A128" s="4"/>
      <c r="B128" s="4"/>
      <c r="C128" s="12"/>
      <c r="D128" s="12"/>
      <c r="E128" s="12"/>
      <c r="F128" s="12"/>
      <c r="G128" s="12"/>
      <c r="H128" s="12"/>
      <c r="I128" s="12"/>
      <c r="J128" s="12"/>
      <c r="K128" s="12"/>
      <c r="L128" s="158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</row>
    <row r="129" customFormat="false" ht="12.75" hidden="false" customHeight="false" outlineLevel="0" collapsed="false">
      <c r="A129" s="4"/>
      <c r="B129" s="4"/>
      <c r="C129" s="12"/>
      <c r="D129" s="12"/>
      <c r="E129" s="12"/>
      <c r="F129" s="12"/>
      <c r="G129" s="12"/>
      <c r="H129" s="12"/>
      <c r="I129" s="12"/>
      <c r="J129" s="12"/>
      <c r="K129" s="12"/>
      <c r="L129" s="158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</row>
    <row r="130" customFormat="false" ht="12.75" hidden="false" customHeight="false" outlineLevel="0" collapsed="false">
      <c r="A130" s="4"/>
      <c r="B130" s="4"/>
      <c r="C130" s="12"/>
      <c r="D130" s="12"/>
      <c r="E130" s="12"/>
      <c r="F130" s="12"/>
      <c r="G130" s="12"/>
      <c r="H130" s="12"/>
      <c r="I130" s="12"/>
      <c r="J130" s="12"/>
      <c r="K130" s="12"/>
      <c r="L130" s="158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</row>
    <row r="131" customFormat="false" ht="12.75" hidden="false" customHeight="false" outlineLevel="0" collapsed="false">
      <c r="A131" s="4"/>
      <c r="B131" s="4"/>
      <c r="C131" s="12"/>
      <c r="D131" s="12"/>
      <c r="E131" s="12"/>
      <c r="F131" s="12"/>
      <c r="G131" s="12"/>
      <c r="H131" s="12"/>
      <c r="I131" s="12"/>
      <c r="J131" s="12"/>
      <c r="K131" s="12"/>
      <c r="L131" s="158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</row>
    <row r="132" customFormat="false" ht="12.75" hidden="false" customHeight="false" outlineLevel="0" collapsed="false">
      <c r="A132" s="4"/>
      <c r="B132" s="4"/>
      <c r="C132" s="12"/>
      <c r="D132" s="12"/>
      <c r="E132" s="12"/>
      <c r="F132" s="12"/>
      <c r="G132" s="12"/>
      <c r="H132" s="12"/>
      <c r="I132" s="12"/>
      <c r="J132" s="12"/>
      <c r="K132" s="12"/>
      <c r="L132" s="158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</row>
    <row r="133" customFormat="false" ht="12.75" hidden="false" customHeight="false" outlineLevel="0" collapsed="false">
      <c r="A133" s="4"/>
      <c r="B133" s="4"/>
      <c r="C133" s="12"/>
      <c r="D133" s="12"/>
      <c r="E133" s="12"/>
      <c r="F133" s="12"/>
      <c r="G133" s="12"/>
      <c r="H133" s="12"/>
      <c r="I133" s="12"/>
      <c r="J133" s="12"/>
      <c r="K133" s="12"/>
      <c r="L133" s="158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</row>
    <row r="134" customFormat="false" ht="12.75" hidden="false" customHeight="false" outlineLevel="0" collapsed="false">
      <c r="A134" s="4"/>
      <c r="B134" s="4"/>
      <c r="C134" s="12"/>
      <c r="D134" s="12"/>
      <c r="E134" s="12"/>
      <c r="F134" s="12"/>
      <c r="G134" s="12"/>
      <c r="H134" s="12"/>
      <c r="I134" s="12"/>
      <c r="J134" s="12"/>
      <c r="K134" s="12"/>
      <c r="L134" s="158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</row>
    <row r="135" customFormat="false" ht="12.75" hidden="false" customHeight="false" outlineLevel="0" collapsed="false">
      <c r="A135" s="4"/>
      <c r="B135" s="4"/>
      <c r="C135" s="12"/>
      <c r="D135" s="12"/>
      <c r="E135" s="12"/>
      <c r="F135" s="12"/>
      <c r="G135" s="12"/>
      <c r="H135" s="12"/>
      <c r="I135" s="12"/>
      <c r="J135" s="12"/>
      <c r="K135" s="12"/>
      <c r="L135" s="158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</row>
    <row r="136" customFormat="false" ht="12.75" hidden="false" customHeight="false" outlineLevel="0" collapsed="false">
      <c r="A136" s="4"/>
      <c r="B136" s="4"/>
      <c r="C136" s="12"/>
      <c r="D136" s="12"/>
      <c r="E136" s="12"/>
      <c r="F136" s="12"/>
      <c r="G136" s="12"/>
      <c r="H136" s="12"/>
      <c r="I136" s="12"/>
      <c r="J136" s="12"/>
      <c r="K136" s="12"/>
      <c r="L136" s="158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</row>
    <row r="137" customFormat="false" ht="12.75" hidden="false" customHeight="false" outlineLevel="0" collapsed="false">
      <c r="A137" s="4"/>
      <c r="B137" s="4"/>
      <c r="C137" s="12"/>
      <c r="D137" s="12"/>
      <c r="E137" s="12"/>
      <c r="F137" s="12"/>
      <c r="G137" s="12"/>
      <c r="H137" s="12"/>
      <c r="I137" s="12"/>
      <c r="J137" s="12"/>
      <c r="K137" s="12"/>
      <c r="L137" s="158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</row>
    <row r="138" customFormat="false" ht="12.75" hidden="false" customHeight="false" outlineLevel="0" collapsed="false">
      <c r="A138" s="4"/>
      <c r="B138" s="4"/>
      <c r="C138" s="12"/>
      <c r="D138" s="12"/>
      <c r="E138" s="12"/>
      <c r="F138" s="12"/>
      <c r="G138" s="12"/>
      <c r="H138" s="12"/>
      <c r="I138" s="12"/>
      <c r="J138" s="12"/>
      <c r="K138" s="12"/>
      <c r="L138" s="158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</row>
    <row r="139" customFormat="false" ht="12.75" hidden="false" customHeight="false" outlineLevel="0" collapsed="false">
      <c r="A139" s="4"/>
      <c r="B139" s="4"/>
      <c r="C139" s="12"/>
      <c r="D139" s="12"/>
      <c r="E139" s="12"/>
      <c r="F139" s="12"/>
      <c r="G139" s="12"/>
      <c r="H139" s="12"/>
      <c r="I139" s="12"/>
      <c r="J139" s="12"/>
      <c r="K139" s="12"/>
      <c r="L139" s="158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</row>
    <row r="140" customFormat="false" ht="12.75" hidden="false" customHeight="false" outlineLevel="0" collapsed="false">
      <c r="A140" s="4"/>
      <c r="B140" s="4"/>
      <c r="C140" s="12"/>
      <c r="D140" s="12"/>
      <c r="E140" s="12"/>
      <c r="F140" s="12"/>
      <c r="G140" s="12"/>
      <c r="H140" s="12"/>
      <c r="I140" s="12"/>
      <c r="J140" s="12"/>
      <c r="K140" s="12"/>
      <c r="L140" s="158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</row>
    <row r="141" customFormat="false" ht="12.75" hidden="false" customHeight="false" outlineLevel="0" collapsed="false">
      <c r="A141" s="4"/>
      <c r="B141" s="4"/>
      <c r="C141" s="12"/>
      <c r="D141" s="12"/>
      <c r="E141" s="12"/>
      <c r="F141" s="12"/>
      <c r="G141" s="12"/>
      <c r="H141" s="12"/>
      <c r="I141" s="12"/>
      <c r="J141" s="12"/>
      <c r="K141" s="12"/>
      <c r="L141" s="158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</row>
    <row r="142" customFormat="false" ht="12.75" hidden="false" customHeight="false" outlineLevel="0" collapsed="false">
      <c r="A142" s="4"/>
      <c r="B142" s="4"/>
      <c r="C142" s="12"/>
      <c r="D142" s="12"/>
      <c r="E142" s="12"/>
      <c r="F142" s="12"/>
      <c r="G142" s="12"/>
      <c r="H142" s="12"/>
      <c r="I142" s="12"/>
      <c r="J142" s="12"/>
      <c r="K142" s="12"/>
      <c r="L142" s="158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</row>
    <row r="143" customFormat="false" ht="12.75" hidden="false" customHeight="false" outlineLevel="0" collapsed="false">
      <c r="A143" s="4"/>
      <c r="B143" s="4"/>
      <c r="C143" s="12"/>
      <c r="D143" s="12"/>
      <c r="E143" s="12"/>
      <c r="F143" s="12"/>
      <c r="G143" s="12"/>
      <c r="H143" s="12"/>
      <c r="I143" s="12"/>
      <c r="J143" s="12"/>
      <c r="K143" s="12"/>
      <c r="L143" s="158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</row>
    <row r="144" customFormat="false" ht="12.75" hidden="false" customHeight="false" outlineLevel="0" collapsed="false">
      <c r="A144" s="4"/>
      <c r="B144" s="4"/>
      <c r="C144" s="12"/>
      <c r="D144" s="12"/>
      <c r="E144" s="12"/>
      <c r="F144" s="12"/>
      <c r="G144" s="12"/>
      <c r="H144" s="12"/>
      <c r="I144" s="12"/>
      <c r="J144" s="12"/>
      <c r="K144" s="12"/>
      <c r="L144" s="158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</row>
    <row r="145" customFormat="false" ht="12.75" hidden="false" customHeight="false" outlineLevel="0" collapsed="false">
      <c r="A145" s="4"/>
      <c r="B145" s="4"/>
      <c r="C145" s="12"/>
      <c r="D145" s="12"/>
      <c r="E145" s="12"/>
      <c r="F145" s="12"/>
      <c r="G145" s="12"/>
      <c r="H145" s="12"/>
      <c r="I145" s="12"/>
      <c r="J145" s="12"/>
      <c r="K145" s="12"/>
      <c r="L145" s="158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</row>
    <row r="146" customFormat="false" ht="12.75" hidden="false" customHeight="false" outlineLevel="0" collapsed="false">
      <c r="A146" s="4"/>
      <c r="B146" s="4"/>
      <c r="C146" s="12"/>
      <c r="D146" s="12"/>
      <c r="E146" s="12"/>
      <c r="F146" s="12"/>
      <c r="G146" s="12"/>
      <c r="H146" s="12"/>
      <c r="I146" s="12"/>
      <c r="J146" s="12"/>
      <c r="K146" s="12"/>
      <c r="L146" s="158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</row>
    <row r="147" customFormat="false" ht="12.75" hidden="false" customHeight="false" outlineLevel="0" collapsed="false">
      <c r="A147" s="4"/>
      <c r="B147" s="4"/>
      <c r="C147" s="12"/>
      <c r="D147" s="12"/>
      <c r="E147" s="12"/>
      <c r="F147" s="12"/>
      <c r="G147" s="12"/>
      <c r="H147" s="12"/>
      <c r="I147" s="12"/>
      <c r="J147" s="12"/>
      <c r="K147" s="12"/>
      <c r="L147" s="158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</row>
    <row r="148" customFormat="false" ht="12.75" hidden="false" customHeight="false" outlineLevel="0" collapsed="false">
      <c r="A148" s="4"/>
      <c r="B148" s="4"/>
      <c r="C148" s="12"/>
      <c r="D148" s="12"/>
      <c r="E148" s="12"/>
      <c r="F148" s="12"/>
      <c r="G148" s="12"/>
      <c r="H148" s="12"/>
      <c r="I148" s="12"/>
      <c r="J148" s="12"/>
      <c r="K148" s="12"/>
      <c r="L148" s="158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</row>
    <row r="149" customFormat="false" ht="12.75" hidden="false" customHeight="false" outlineLevel="0" collapsed="false">
      <c r="A149" s="4"/>
      <c r="B149" s="4"/>
      <c r="C149" s="12"/>
      <c r="D149" s="12"/>
      <c r="E149" s="12"/>
      <c r="F149" s="12"/>
      <c r="G149" s="12"/>
      <c r="H149" s="12"/>
      <c r="I149" s="12"/>
      <c r="J149" s="12"/>
      <c r="K149" s="12"/>
      <c r="L149" s="158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</row>
    <row r="150" customFormat="false" ht="12.75" hidden="false" customHeight="false" outlineLevel="0" collapsed="false">
      <c r="A150" s="4"/>
      <c r="B150" s="4"/>
      <c r="C150" s="12"/>
      <c r="D150" s="12"/>
      <c r="E150" s="12"/>
      <c r="F150" s="12"/>
      <c r="G150" s="12"/>
      <c r="H150" s="12"/>
      <c r="I150" s="12"/>
      <c r="J150" s="12"/>
      <c r="K150" s="12"/>
      <c r="L150" s="158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</row>
    <row r="151" customFormat="false" ht="12.75" hidden="false" customHeight="false" outlineLevel="0" collapsed="false">
      <c r="A151" s="4"/>
      <c r="B151" s="4"/>
      <c r="C151" s="12"/>
      <c r="D151" s="12"/>
      <c r="E151" s="12"/>
      <c r="F151" s="12"/>
      <c r="G151" s="12"/>
      <c r="H151" s="12"/>
      <c r="I151" s="12"/>
      <c r="J151" s="12"/>
      <c r="K151" s="12"/>
      <c r="L151" s="158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</row>
    <row r="152" customFormat="false" ht="12.75" hidden="false" customHeight="false" outlineLevel="0" collapsed="false">
      <c r="A152" s="4"/>
      <c r="B152" s="4"/>
      <c r="C152" s="12"/>
      <c r="D152" s="12"/>
      <c r="E152" s="12"/>
      <c r="F152" s="12"/>
      <c r="G152" s="12"/>
      <c r="H152" s="12"/>
      <c r="I152" s="12"/>
      <c r="J152" s="12"/>
      <c r="K152" s="12"/>
      <c r="L152" s="158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</row>
    <row r="153" customFormat="false" ht="12.75" hidden="false" customHeight="false" outlineLevel="0" collapsed="false">
      <c r="A153" s="4"/>
      <c r="B153" s="4"/>
      <c r="C153" s="12"/>
      <c r="D153" s="12"/>
      <c r="E153" s="12"/>
      <c r="F153" s="12"/>
      <c r="G153" s="12"/>
      <c r="H153" s="12"/>
      <c r="I153" s="12"/>
      <c r="J153" s="12"/>
      <c r="K153" s="12"/>
      <c r="L153" s="158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</row>
    <row r="154" customFormat="false" ht="12.75" hidden="false" customHeight="false" outlineLevel="0" collapsed="false">
      <c r="A154" s="4"/>
      <c r="B154" s="4"/>
      <c r="C154" s="12"/>
      <c r="D154" s="12"/>
      <c r="E154" s="12"/>
      <c r="F154" s="12"/>
      <c r="G154" s="12"/>
      <c r="H154" s="12"/>
      <c r="I154" s="12"/>
      <c r="J154" s="12"/>
      <c r="K154" s="12"/>
      <c r="L154" s="158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</row>
    <row r="155" customFormat="false" ht="12.75" hidden="false" customHeight="false" outlineLevel="0" collapsed="false">
      <c r="A155" s="4"/>
      <c r="B155" s="4"/>
      <c r="C155" s="12"/>
      <c r="D155" s="12"/>
      <c r="E155" s="12"/>
      <c r="F155" s="12"/>
      <c r="G155" s="12"/>
      <c r="H155" s="12"/>
      <c r="I155" s="12"/>
      <c r="J155" s="12"/>
      <c r="K155" s="12"/>
      <c r="L155" s="158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</row>
    <row r="156" customFormat="false" ht="12.75" hidden="false" customHeight="false" outlineLevel="0" collapsed="false">
      <c r="A156" s="4"/>
      <c r="B156" s="4"/>
      <c r="C156" s="12"/>
      <c r="D156" s="12"/>
      <c r="E156" s="12"/>
      <c r="F156" s="12"/>
      <c r="G156" s="12"/>
      <c r="H156" s="12"/>
      <c r="I156" s="12"/>
      <c r="J156" s="12"/>
      <c r="K156" s="12"/>
      <c r="L156" s="158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</row>
    <row r="157" customFormat="false" ht="12.75" hidden="false" customHeight="false" outlineLevel="0" collapsed="false">
      <c r="A157" s="4"/>
      <c r="B157" s="4"/>
      <c r="C157" s="12"/>
      <c r="D157" s="12"/>
      <c r="E157" s="12"/>
      <c r="F157" s="12"/>
      <c r="G157" s="12"/>
      <c r="H157" s="12"/>
      <c r="I157" s="12"/>
      <c r="J157" s="12"/>
      <c r="K157" s="12"/>
      <c r="L157" s="158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</row>
    <row r="158" customFormat="false" ht="12.75" hidden="false" customHeight="false" outlineLevel="0" collapsed="false">
      <c r="A158" s="4"/>
      <c r="B158" s="4"/>
      <c r="C158" s="12"/>
      <c r="D158" s="12"/>
      <c r="E158" s="12"/>
      <c r="F158" s="12"/>
      <c r="G158" s="12"/>
      <c r="H158" s="12"/>
      <c r="I158" s="12"/>
      <c r="J158" s="12"/>
      <c r="K158" s="12"/>
      <c r="L158" s="158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</row>
    <row r="159" customFormat="false" ht="12.75" hidden="false" customHeight="false" outlineLevel="0" collapsed="false">
      <c r="A159" s="4"/>
      <c r="B159" s="4"/>
      <c r="C159" s="12"/>
      <c r="D159" s="12"/>
      <c r="E159" s="12"/>
      <c r="F159" s="12"/>
      <c r="G159" s="12"/>
      <c r="H159" s="12"/>
      <c r="I159" s="12"/>
      <c r="J159" s="12"/>
      <c r="K159" s="12"/>
      <c r="L159" s="158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</row>
    <row r="160" customFormat="false" ht="12.75" hidden="false" customHeight="false" outlineLevel="0" collapsed="false">
      <c r="A160" s="4"/>
      <c r="B160" s="4"/>
      <c r="C160" s="12"/>
      <c r="D160" s="12"/>
      <c r="E160" s="12"/>
      <c r="F160" s="12"/>
      <c r="G160" s="12"/>
      <c r="H160" s="12"/>
      <c r="I160" s="12"/>
      <c r="J160" s="12"/>
      <c r="K160" s="12"/>
      <c r="L160" s="158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</row>
    <row r="161" customFormat="false" ht="12.75" hidden="false" customHeight="false" outlineLevel="0" collapsed="false">
      <c r="A161" s="4"/>
      <c r="B161" s="4"/>
      <c r="C161" s="12"/>
      <c r="D161" s="12"/>
      <c r="E161" s="12"/>
      <c r="F161" s="12"/>
      <c r="G161" s="12"/>
      <c r="H161" s="12"/>
      <c r="I161" s="12"/>
      <c r="J161" s="12"/>
      <c r="K161" s="12"/>
      <c r="L161" s="158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</row>
    <row r="162" customFormat="false" ht="12.75" hidden="false" customHeight="false" outlineLevel="0" collapsed="false">
      <c r="A162" s="4"/>
      <c r="B162" s="4"/>
      <c r="C162" s="12"/>
      <c r="D162" s="12"/>
      <c r="E162" s="12"/>
      <c r="F162" s="12"/>
      <c r="G162" s="12"/>
      <c r="H162" s="12"/>
      <c r="I162" s="12"/>
      <c r="J162" s="12"/>
      <c r="K162" s="12"/>
      <c r="L162" s="158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</row>
    <row r="163" customFormat="false" ht="12.75" hidden="false" customHeight="false" outlineLevel="0" collapsed="false">
      <c r="A163" s="4"/>
      <c r="B163" s="4"/>
      <c r="C163" s="12"/>
      <c r="D163" s="12"/>
      <c r="E163" s="12"/>
      <c r="F163" s="12"/>
      <c r="G163" s="12"/>
      <c r="H163" s="12"/>
      <c r="I163" s="12"/>
      <c r="J163" s="12"/>
      <c r="K163" s="12"/>
      <c r="L163" s="158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</row>
    <row r="164" customFormat="false" ht="12.75" hidden="false" customHeight="false" outlineLevel="0" collapsed="false">
      <c r="A164" s="4"/>
      <c r="B164" s="4"/>
      <c r="C164" s="12"/>
      <c r="D164" s="12"/>
      <c r="E164" s="12"/>
      <c r="F164" s="12"/>
      <c r="G164" s="12"/>
      <c r="H164" s="12"/>
      <c r="I164" s="12"/>
      <c r="J164" s="12"/>
      <c r="K164" s="12"/>
      <c r="L164" s="158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</row>
    <row r="165" customFormat="false" ht="12.75" hidden="false" customHeight="false" outlineLevel="0" collapsed="false">
      <c r="A165" s="4"/>
      <c r="B165" s="4"/>
      <c r="C165" s="12"/>
      <c r="D165" s="12"/>
      <c r="E165" s="12"/>
      <c r="F165" s="12"/>
      <c r="G165" s="12"/>
      <c r="H165" s="12"/>
      <c r="I165" s="12"/>
      <c r="J165" s="12"/>
      <c r="K165" s="12"/>
      <c r="L165" s="158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</row>
    <row r="166" customFormat="false" ht="12.75" hidden="false" customHeight="false" outlineLevel="0" collapsed="false">
      <c r="A166" s="4"/>
      <c r="B166" s="4"/>
      <c r="C166" s="12"/>
      <c r="D166" s="12"/>
      <c r="E166" s="12"/>
      <c r="F166" s="12"/>
      <c r="G166" s="12"/>
      <c r="H166" s="12"/>
      <c r="I166" s="12"/>
      <c r="J166" s="12"/>
      <c r="K166" s="12"/>
      <c r="L166" s="158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</row>
    <row r="167" customFormat="false" ht="12.75" hidden="false" customHeight="false" outlineLevel="0" collapsed="false">
      <c r="A167" s="4"/>
      <c r="B167" s="4"/>
      <c r="C167" s="12"/>
      <c r="D167" s="12"/>
      <c r="E167" s="12"/>
      <c r="F167" s="12"/>
      <c r="G167" s="12"/>
      <c r="H167" s="12"/>
      <c r="I167" s="12"/>
      <c r="J167" s="12"/>
      <c r="K167" s="12"/>
      <c r="L167" s="158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</row>
    <row r="168" customFormat="false" ht="12.75" hidden="false" customHeight="false" outlineLevel="0" collapsed="false">
      <c r="A168" s="40"/>
      <c r="B168" s="40"/>
      <c r="C168" s="12"/>
      <c r="D168" s="12"/>
      <c r="E168" s="12"/>
      <c r="F168" s="12"/>
      <c r="G168" s="12"/>
      <c r="H168" s="12"/>
      <c r="I168" s="12"/>
      <c r="J168" s="12"/>
      <c r="K168" s="12"/>
      <c r="L168" s="158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</row>
    <row r="169" customFormat="false" ht="12.75" hidden="false" customHeight="false" outlineLevel="0" collapsed="false">
      <c r="A169" s="40"/>
      <c r="B169" s="40"/>
      <c r="C169" s="12"/>
      <c r="D169" s="12"/>
      <c r="E169" s="12"/>
      <c r="F169" s="12"/>
      <c r="G169" s="12"/>
      <c r="H169" s="12"/>
      <c r="I169" s="12"/>
      <c r="J169" s="12"/>
      <c r="K169" s="12"/>
      <c r="L169" s="158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</row>
    <row r="170" customFormat="false" ht="12.75" hidden="false" customHeight="false" outlineLevel="0" collapsed="false">
      <c r="A170" s="40"/>
      <c r="B170" s="40"/>
      <c r="C170" s="12"/>
      <c r="D170" s="12"/>
      <c r="E170" s="12"/>
      <c r="F170" s="12"/>
      <c r="G170" s="12"/>
      <c r="H170" s="12"/>
      <c r="I170" s="12"/>
      <c r="J170" s="12"/>
      <c r="K170" s="12"/>
      <c r="L170" s="158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</row>
    <row r="171" customFormat="false" ht="12.75" hidden="false" customHeight="false" outlineLevel="0" collapsed="false">
      <c r="A171" s="40"/>
      <c r="B171" s="40"/>
      <c r="C171" s="12"/>
      <c r="D171" s="12"/>
      <c r="E171" s="12"/>
      <c r="F171" s="12"/>
      <c r="G171" s="12"/>
      <c r="H171" s="12"/>
      <c r="I171" s="12"/>
      <c r="J171" s="12"/>
      <c r="K171" s="12"/>
      <c r="L171" s="158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</row>
    <row r="172" customFormat="false" ht="12.75" hidden="false" customHeight="false" outlineLevel="0" collapsed="false">
      <c r="A172" s="40"/>
      <c r="B172" s="40"/>
      <c r="C172" s="12"/>
      <c r="D172" s="12"/>
      <c r="E172" s="12"/>
      <c r="F172" s="12"/>
      <c r="G172" s="12"/>
      <c r="H172" s="12"/>
      <c r="I172" s="12"/>
      <c r="J172" s="12"/>
      <c r="K172" s="12"/>
      <c r="L172" s="158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</row>
    <row r="173" customFormat="false" ht="12.75" hidden="false" customHeight="false" outlineLevel="0" collapsed="false">
      <c r="A173" s="40"/>
      <c r="B173" s="40"/>
      <c r="C173" s="12"/>
      <c r="D173" s="12"/>
      <c r="E173" s="12"/>
      <c r="F173" s="12"/>
      <c r="G173" s="12"/>
      <c r="H173" s="12"/>
      <c r="I173" s="12"/>
      <c r="J173" s="12"/>
      <c r="K173" s="12"/>
      <c r="L173" s="158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</row>
    <row r="174" customFormat="false" ht="12.75" hidden="false" customHeight="false" outlineLevel="0" collapsed="false">
      <c r="A174" s="40"/>
      <c r="B174" s="40"/>
      <c r="C174" s="12"/>
      <c r="D174" s="12"/>
      <c r="E174" s="12"/>
      <c r="F174" s="12"/>
      <c r="G174" s="12"/>
      <c r="H174" s="12"/>
      <c r="I174" s="12"/>
      <c r="J174" s="12"/>
      <c r="K174" s="12"/>
      <c r="L174" s="158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</row>
    <row r="175" customFormat="false" ht="12.75" hidden="false" customHeight="false" outlineLevel="0" collapsed="false">
      <c r="A175" s="40"/>
      <c r="B175" s="40"/>
      <c r="C175" s="12"/>
      <c r="D175" s="12"/>
      <c r="E175" s="12"/>
      <c r="F175" s="12"/>
      <c r="G175" s="12"/>
      <c r="H175" s="12"/>
      <c r="I175" s="12"/>
      <c r="J175" s="12"/>
      <c r="K175" s="12"/>
      <c r="L175" s="158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</row>
    <row r="176" customFormat="false" ht="12.75" hidden="false" customHeight="false" outlineLevel="0" collapsed="false">
      <c r="A176" s="40"/>
      <c r="B176" s="40"/>
      <c r="C176" s="12"/>
      <c r="D176" s="12"/>
      <c r="E176" s="12"/>
      <c r="F176" s="12"/>
      <c r="G176" s="12"/>
      <c r="H176" s="12"/>
      <c r="I176" s="12"/>
      <c r="J176" s="12"/>
      <c r="K176" s="12"/>
      <c r="L176" s="158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</row>
    <row r="177" customFormat="false" ht="12.75" hidden="false" customHeight="false" outlineLevel="0" collapsed="false">
      <c r="A177" s="40"/>
      <c r="B177" s="40"/>
      <c r="C177" s="12"/>
      <c r="D177" s="12"/>
      <c r="E177" s="12"/>
      <c r="F177" s="12"/>
      <c r="G177" s="12"/>
      <c r="H177" s="12"/>
      <c r="I177" s="12"/>
      <c r="J177" s="12"/>
      <c r="K177" s="12"/>
      <c r="L177" s="158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</row>
    <row r="178" customFormat="false" ht="12.75" hidden="false" customHeight="false" outlineLevel="0" collapsed="false">
      <c r="A178" s="40"/>
      <c r="B178" s="40"/>
      <c r="C178" s="12"/>
      <c r="D178" s="12"/>
      <c r="E178" s="12"/>
      <c r="F178" s="12"/>
      <c r="G178" s="12"/>
      <c r="H178" s="12"/>
      <c r="I178" s="12"/>
      <c r="J178" s="12"/>
      <c r="K178" s="12"/>
      <c r="L178" s="158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</row>
    <row r="179" customFormat="false" ht="12.75" hidden="false" customHeight="false" outlineLevel="0" collapsed="false">
      <c r="A179" s="40"/>
      <c r="B179" s="40"/>
      <c r="C179" s="12"/>
      <c r="D179" s="12"/>
      <c r="E179" s="12"/>
      <c r="F179" s="12"/>
      <c r="G179" s="12"/>
      <c r="H179" s="12"/>
      <c r="I179" s="12"/>
      <c r="J179" s="12"/>
      <c r="K179" s="12"/>
      <c r="L179" s="158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</row>
    <row r="180" customFormat="false" ht="12.75" hidden="false" customHeight="false" outlineLevel="0" collapsed="false">
      <c r="A180" s="40"/>
      <c r="B180" s="40"/>
      <c r="C180" s="12"/>
      <c r="D180" s="12"/>
      <c r="E180" s="12"/>
      <c r="F180" s="12"/>
      <c r="G180" s="12"/>
      <c r="H180" s="12"/>
      <c r="I180" s="12"/>
      <c r="J180" s="12"/>
      <c r="K180" s="12"/>
      <c r="L180" s="158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</row>
    <row r="181" customFormat="false" ht="12.75" hidden="false" customHeight="false" outlineLevel="0" collapsed="false">
      <c r="A181" s="40"/>
      <c r="B181" s="40"/>
      <c r="C181" s="12"/>
      <c r="D181" s="12"/>
      <c r="E181" s="12"/>
      <c r="F181" s="12"/>
      <c r="G181" s="12"/>
      <c r="H181" s="12"/>
      <c r="I181" s="12"/>
      <c r="J181" s="12"/>
      <c r="K181" s="12"/>
      <c r="L181" s="158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</row>
    <row r="182" customFormat="false" ht="12.75" hidden="false" customHeight="false" outlineLevel="0" collapsed="false">
      <c r="A182" s="40"/>
      <c r="B182" s="40"/>
      <c r="C182" s="12"/>
      <c r="D182" s="12"/>
      <c r="E182" s="12"/>
      <c r="F182" s="12"/>
      <c r="G182" s="12"/>
      <c r="H182" s="12"/>
      <c r="I182" s="12"/>
      <c r="J182" s="12"/>
      <c r="K182" s="12"/>
      <c r="L182" s="158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</row>
    <row r="183" customFormat="false" ht="12.75" hidden="false" customHeight="false" outlineLevel="0" collapsed="false">
      <c r="A183" s="40"/>
      <c r="B183" s="40"/>
      <c r="C183" s="12"/>
      <c r="D183" s="12"/>
      <c r="E183" s="12"/>
      <c r="F183" s="12"/>
      <c r="G183" s="12"/>
      <c r="H183" s="12"/>
      <c r="I183" s="12"/>
      <c r="J183" s="12"/>
      <c r="K183" s="12"/>
      <c r="L183" s="158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</row>
    <row r="184" customFormat="false" ht="12.75" hidden="false" customHeight="false" outlineLevel="0" collapsed="false">
      <c r="A184" s="40"/>
      <c r="B184" s="40"/>
      <c r="C184" s="12"/>
      <c r="D184" s="12"/>
      <c r="E184" s="12"/>
      <c r="F184" s="12"/>
      <c r="G184" s="12"/>
      <c r="H184" s="12"/>
      <c r="I184" s="12"/>
      <c r="J184" s="12"/>
      <c r="K184" s="12"/>
      <c r="L184" s="158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</row>
    <row r="185" customFormat="false" ht="12.75" hidden="false" customHeight="false" outlineLevel="0" collapsed="false">
      <c r="A185" s="40"/>
      <c r="B185" s="40"/>
      <c r="C185" s="12"/>
      <c r="D185" s="12"/>
      <c r="E185" s="12"/>
      <c r="F185" s="12"/>
      <c r="G185" s="12"/>
      <c r="H185" s="12"/>
      <c r="I185" s="12"/>
      <c r="J185" s="12"/>
      <c r="K185" s="12"/>
      <c r="L185" s="158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</row>
    <row r="186" customFormat="false" ht="12.75" hidden="false" customHeight="false" outlineLevel="0" collapsed="false">
      <c r="A186" s="40"/>
      <c r="B186" s="40"/>
      <c r="C186" s="12"/>
      <c r="D186" s="12"/>
      <c r="E186" s="12"/>
      <c r="F186" s="12"/>
      <c r="G186" s="12"/>
      <c r="H186" s="12"/>
      <c r="I186" s="12"/>
      <c r="J186" s="12"/>
      <c r="K186" s="12"/>
      <c r="L186" s="158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</row>
    <row r="187" customFormat="false" ht="12.75" hidden="false" customHeight="false" outlineLevel="0" collapsed="false">
      <c r="A187" s="40"/>
      <c r="B187" s="40"/>
      <c r="C187" s="12"/>
      <c r="D187" s="12"/>
      <c r="E187" s="12"/>
      <c r="F187" s="12"/>
      <c r="G187" s="12"/>
      <c r="H187" s="12"/>
      <c r="I187" s="12"/>
      <c r="J187" s="12"/>
      <c r="K187" s="12"/>
      <c r="L187" s="158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</row>
    <row r="188" customFormat="false" ht="12.75" hidden="false" customHeight="false" outlineLevel="0" collapsed="false">
      <c r="A188" s="40"/>
      <c r="B188" s="40"/>
      <c r="C188" s="12"/>
      <c r="D188" s="12"/>
      <c r="E188" s="12"/>
      <c r="F188" s="12"/>
      <c r="G188" s="12"/>
      <c r="H188" s="12"/>
      <c r="I188" s="12"/>
      <c r="J188" s="12"/>
      <c r="K188" s="12"/>
      <c r="L188" s="158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</row>
    <row r="189" customFormat="false" ht="12.75" hidden="false" customHeight="false" outlineLevel="0" collapsed="false">
      <c r="A189" s="40"/>
      <c r="B189" s="40"/>
      <c r="C189" s="12"/>
      <c r="D189" s="12"/>
      <c r="E189" s="12"/>
      <c r="F189" s="12"/>
      <c r="G189" s="12"/>
      <c r="H189" s="12"/>
      <c r="I189" s="12"/>
      <c r="J189" s="12"/>
      <c r="K189" s="12"/>
      <c r="L189" s="158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</row>
    <row r="190" customFormat="false" ht="12.75" hidden="false" customHeight="false" outlineLevel="0" collapsed="false">
      <c r="A190" s="40"/>
      <c r="B190" s="40"/>
      <c r="C190" s="12"/>
      <c r="D190" s="12"/>
      <c r="E190" s="12"/>
      <c r="F190" s="12"/>
      <c r="G190" s="12"/>
      <c r="H190" s="12"/>
      <c r="I190" s="12"/>
      <c r="J190" s="12"/>
      <c r="K190" s="12"/>
      <c r="L190" s="158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</row>
    <row r="191" customFormat="false" ht="12.75" hidden="false" customHeight="false" outlineLevel="0" collapsed="false">
      <c r="A191" s="40"/>
      <c r="B191" s="40"/>
      <c r="C191" s="12"/>
      <c r="D191" s="12"/>
      <c r="E191" s="12"/>
      <c r="F191" s="12"/>
      <c r="G191" s="12"/>
      <c r="H191" s="12"/>
      <c r="I191" s="12"/>
      <c r="J191" s="12"/>
      <c r="K191" s="12"/>
      <c r="L191" s="158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</row>
    <row r="192" customFormat="false" ht="12.75" hidden="false" customHeight="false" outlineLevel="0" collapsed="false">
      <c r="A192" s="40"/>
      <c r="B192" s="40"/>
      <c r="C192" s="12"/>
      <c r="D192" s="12"/>
      <c r="E192" s="12"/>
      <c r="F192" s="12"/>
      <c r="G192" s="12"/>
      <c r="H192" s="12"/>
      <c r="I192" s="12"/>
      <c r="J192" s="12"/>
      <c r="K192" s="12"/>
      <c r="L192" s="158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</row>
    <row r="193" customFormat="false" ht="12.75" hidden="false" customHeight="false" outlineLevel="0" collapsed="false">
      <c r="A193" s="40"/>
      <c r="B193" s="40"/>
      <c r="C193" s="12"/>
      <c r="D193" s="12"/>
      <c r="E193" s="12"/>
      <c r="F193" s="12"/>
      <c r="G193" s="12"/>
      <c r="H193" s="12"/>
      <c r="I193" s="12"/>
      <c r="J193" s="12"/>
      <c r="K193" s="12"/>
      <c r="L193" s="158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</row>
    <row r="194" customFormat="false" ht="12.75" hidden="false" customHeight="false" outlineLevel="0" collapsed="false">
      <c r="A194" s="40"/>
      <c r="B194" s="40"/>
      <c r="C194" s="12"/>
      <c r="D194" s="12"/>
      <c r="E194" s="12"/>
      <c r="F194" s="12"/>
      <c r="G194" s="12"/>
      <c r="H194" s="12"/>
      <c r="I194" s="12"/>
      <c r="J194" s="12"/>
      <c r="K194" s="12"/>
      <c r="L194" s="158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</row>
    <row r="195" customFormat="false" ht="12.75" hidden="false" customHeight="false" outlineLevel="0" collapsed="false">
      <c r="C195" s="12"/>
      <c r="D195" s="12"/>
      <c r="E195" s="12"/>
      <c r="F195" s="12"/>
      <c r="G195" s="12"/>
      <c r="H195" s="12"/>
      <c r="I195" s="12"/>
      <c r="J195" s="12"/>
      <c r="K195" s="12"/>
      <c r="L195" s="158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</row>
    <row r="196" customFormat="false" ht="12.75" hidden="false" customHeight="false" outlineLevel="0" collapsed="false">
      <c r="C196" s="12"/>
      <c r="D196" s="12"/>
      <c r="E196" s="12"/>
      <c r="F196" s="12"/>
      <c r="G196" s="12"/>
      <c r="H196" s="12"/>
      <c r="I196" s="12"/>
      <c r="J196" s="12"/>
      <c r="K196" s="12"/>
      <c r="L196" s="158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</row>
    <row r="197" customFormat="false" ht="12.75" hidden="false" customHeight="false" outlineLevel="0" collapsed="false">
      <c r="C197" s="12"/>
      <c r="D197" s="12"/>
      <c r="E197" s="12"/>
      <c r="F197" s="12"/>
      <c r="G197" s="12"/>
      <c r="H197" s="12"/>
      <c r="I197" s="12"/>
      <c r="J197" s="12"/>
      <c r="K197" s="12"/>
      <c r="L197" s="158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</row>
    <row r="198" customFormat="false" ht="12.75" hidden="false" customHeight="false" outlineLevel="0" collapsed="false">
      <c r="C198" s="12"/>
      <c r="D198" s="12"/>
      <c r="E198" s="12"/>
      <c r="F198" s="12"/>
      <c r="G198" s="12"/>
      <c r="H198" s="12"/>
      <c r="I198" s="12"/>
      <c r="J198" s="12"/>
      <c r="K198" s="12"/>
      <c r="L198" s="158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</row>
    <row r="199" customFormat="false" ht="12.75" hidden="false" customHeight="false" outlineLevel="0" collapsed="false">
      <c r="C199" s="12"/>
      <c r="D199" s="12"/>
      <c r="E199" s="12"/>
      <c r="F199" s="12"/>
      <c r="G199" s="12"/>
      <c r="H199" s="12"/>
      <c r="I199" s="12"/>
      <c r="J199" s="12"/>
      <c r="K199" s="12"/>
      <c r="L199" s="158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</row>
    <row r="200" customFormat="false" ht="12.75" hidden="false" customHeight="false" outlineLevel="0" collapsed="false">
      <c r="C200" s="12"/>
      <c r="D200" s="12"/>
      <c r="E200" s="12"/>
      <c r="F200" s="12"/>
      <c r="G200" s="12"/>
      <c r="H200" s="12"/>
      <c r="I200" s="12"/>
      <c r="J200" s="12"/>
      <c r="K200" s="12"/>
      <c r="L200" s="158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</row>
    <row r="201" customFormat="false" ht="12.75" hidden="false" customHeight="false" outlineLevel="0" collapsed="false">
      <c r="C201" s="12"/>
      <c r="D201" s="12"/>
      <c r="E201" s="12"/>
      <c r="F201" s="12"/>
      <c r="G201" s="12"/>
      <c r="H201" s="12"/>
      <c r="I201" s="12"/>
      <c r="J201" s="12"/>
      <c r="K201" s="12"/>
      <c r="L201" s="158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</row>
    <row r="202" customFormat="false" ht="12.75" hidden="false" customHeight="false" outlineLevel="0" collapsed="false">
      <c r="C202" s="12"/>
      <c r="D202" s="12"/>
      <c r="E202" s="12"/>
      <c r="F202" s="12"/>
      <c r="G202" s="12"/>
      <c r="H202" s="12"/>
      <c r="I202" s="12"/>
      <c r="J202" s="12"/>
      <c r="K202" s="12"/>
      <c r="L202" s="158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</row>
    <row r="203" customFormat="false" ht="12.75" hidden="false" customHeight="false" outlineLevel="0" collapsed="false">
      <c r="C203" s="12"/>
      <c r="D203" s="12"/>
      <c r="E203" s="12"/>
      <c r="F203" s="12"/>
      <c r="G203" s="12"/>
      <c r="H203" s="12"/>
      <c r="I203" s="12"/>
      <c r="J203" s="12"/>
      <c r="K203" s="12"/>
      <c r="L203" s="158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</row>
    <row r="204" customFormat="false" ht="12.75" hidden="false" customHeight="false" outlineLevel="0" collapsed="false">
      <c r="C204" s="12"/>
      <c r="D204" s="12"/>
      <c r="E204" s="12"/>
      <c r="F204" s="12"/>
      <c r="G204" s="12"/>
      <c r="H204" s="12"/>
      <c r="I204" s="12"/>
      <c r="J204" s="12"/>
      <c r="K204" s="12"/>
      <c r="L204" s="158"/>
    </row>
    <row r="205" customFormat="false" ht="12.75" hidden="false" customHeight="false" outlineLevel="0" collapsed="false">
      <c r="C205" s="12"/>
      <c r="D205" s="12"/>
      <c r="E205" s="12"/>
      <c r="F205" s="12"/>
      <c r="G205" s="12"/>
      <c r="H205" s="12"/>
      <c r="I205" s="12"/>
      <c r="J205" s="12"/>
      <c r="K205" s="12"/>
      <c r="L205" s="158"/>
    </row>
    <row r="206" customFormat="false" ht="12.75" hidden="false" customHeight="false" outlineLevel="0" collapsed="false">
      <c r="C206" s="12"/>
      <c r="D206" s="12"/>
      <c r="E206" s="12"/>
      <c r="F206" s="12"/>
      <c r="G206" s="12"/>
      <c r="H206" s="12"/>
      <c r="I206" s="12"/>
      <c r="J206" s="12"/>
      <c r="K206" s="12"/>
      <c r="L206" s="158"/>
    </row>
    <row r="207" customFormat="false" ht="12.75" hidden="false" customHeight="false" outlineLevel="0" collapsed="false">
      <c r="C207" s="12"/>
      <c r="D207" s="12"/>
      <c r="E207" s="12"/>
      <c r="F207" s="12"/>
      <c r="G207" s="12"/>
      <c r="H207" s="12"/>
      <c r="I207" s="12"/>
      <c r="J207" s="12"/>
      <c r="K207" s="12"/>
      <c r="L207" s="158"/>
    </row>
    <row r="208" customFormat="false" ht="12.75" hidden="false" customHeight="false" outlineLevel="0" collapsed="false">
      <c r="C208" s="12"/>
      <c r="D208" s="12"/>
      <c r="E208" s="12"/>
      <c r="F208" s="12"/>
      <c r="G208" s="12"/>
      <c r="H208" s="12"/>
      <c r="I208" s="12"/>
      <c r="J208" s="12"/>
      <c r="K208" s="12"/>
      <c r="L208" s="158"/>
    </row>
    <row r="209" customFormat="false" ht="12.75" hidden="false" customHeight="false" outlineLevel="0" collapsed="false">
      <c r="C209" s="12"/>
      <c r="D209" s="12"/>
      <c r="E209" s="12"/>
      <c r="F209" s="12"/>
      <c r="G209" s="12"/>
      <c r="H209" s="12"/>
      <c r="I209" s="12"/>
      <c r="J209" s="12"/>
      <c r="K209" s="12"/>
      <c r="L209" s="158"/>
    </row>
    <row r="210" customFormat="false" ht="12.75" hidden="false" customHeight="false" outlineLevel="0" collapsed="false">
      <c r="C210" s="12"/>
      <c r="D210" s="12"/>
      <c r="E210" s="12"/>
      <c r="F210" s="12"/>
      <c r="G210" s="12"/>
      <c r="H210" s="12"/>
      <c r="I210" s="12"/>
      <c r="J210" s="12"/>
      <c r="K210" s="12"/>
      <c r="L210" s="158"/>
    </row>
    <row r="211" customFormat="false" ht="12.75" hidden="false" customHeight="false" outlineLevel="0" collapsed="false">
      <c r="C211" s="12"/>
      <c r="D211" s="12"/>
      <c r="E211" s="12"/>
      <c r="F211" s="12"/>
      <c r="G211" s="12"/>
      <c r="H211" s="12"/>
      <c r="I211" s="12"/>
      <c r="J211" s="12"/>
      <c r="K211" s="12"/>
      <c r="L211" s="158"/>
    </row>
    <row r="212" customFormat="false" ht="12.75" hidden="false" customHeight="false" outlineLevel="0" collapsed="false">
      <c r="C212" s="12"/>
      <c r="D212" s="12"/>
      <c r="E212" s="12"/>
      <c r="F212" s="12"/>
      <c r="G212" s="12"/>
      <c r="H212" s="12"/>
      <c r="I212" s="12"/>
      <c r="J212" s="12"/>
      <c r="K212" s="12"/>
      <c r="L212" s="158"/>
    </row>
    <row r="213" customFormat="false" ht="12.75" hidden="false" customHeight="false" outlineLevel="0" collapsed="false">
      <c r="C213" s="12"/>
      <c r="D213" s="12"/>
      <c r="E213" s="12"/>
      <c r="F213" s="12"/>
      <c r="G213" s="12"/>
      <c r="H213" s="12"/>
      <c r="I213" s="12"/>
      <c r="J213" s="12"/>
      <c r="K213" s="12"/>
      <c r="L213" s="158"/>
    </row>
    <row r="214" customFormat="false" ht="12.75" hidden="false" customHeight="false" outlineLevel="0" collapsed="false">
      <c r="C214" s="12"/>
      <c r="D214" s="12"/>
      <c r="E214" s="12"/>
      <c r="F214" s="12"/>
      <c r="G214" s="12"/>
      <c r="H214" s="12"/>
      <c r="I214" s="12"/>
      <c r="J214" s="12"/>
      <c r="K214" s="12"/>
      <c r="L214" s="158"/>
    </row>
    <row r="215" customFormat="false" ht="12.75" hidden="false" customHeight="false" outlineLevel="0" collapsed="false">
      <c r="C215" s="12"/>
      <c r="D215" s="12"/>
      <c r="E215" s="12"/>
      <c r="F215" s="12"/>
      <c r="G215" s="12"/>
      <c r="H215" s="12"/>
      <c r="I215" s="12"/>
      <c r="J215" s="12"/>
      <c r="K215" s="12"/>
      <c r="L215" s="158"/>
    </row>
    <row r="216" customFormat="false" ht="12.75" hidden="false" customHeight="false" outlineLevel="0" collapsed="false">
      <c r="C216" s="12"/>
      <c r="D216" s="12"/>
      <c r="E216" s="12"/>
      <c r="F216" s="12"/>
      <c r="G216" s="12"/>
      <c r="H216" s="12"/>
      <c r="I216" s="12"/>
      <c r="J216" s="12"/>
      <c r="K216" s="12"/>
      <c r="L216" s="158"/>
    </row>
    <row r="217" customFormat="false" ht="12.75" hidden="false" customHeight="false" outlineLevel="0" collapsed="false">
      <c r="C217" s="12"/>
      <c r="D217" s="12"/>
      <c r="E217" s="12"/>
      <c r="F217" s="12"/>
      <c r="G217" s="12"/>
      <c r="H217" s="12"/>
      <c r="I217" s="12"/>
      <c r="J217" s="12"/>
      <c r="K217" s="12"/>
      <c r="L217" s="158"/>
    </row>
    <row r="218" customFormat="false" ht="12.75" hidden="false" customHeight="false" outlineLevel="0" collapsed="false">
      <c r="C218" s="12"/>
      <c r="D218" s="12"/>
      <c r="E218" s="12"/>
      <c r="F218" s="12"/>
      <c r="G218" s="12"/>
      <c r="H218" s="12"/>
      <c r="I218" s="12"/>
      <c r="J218" s="12"/>
      <c r="K218" s="12"/>
      <c r="L218" s="158"/>
    </row>
    <row r="219" customFormat="false" ht="12.75" hidden="false" customHeight="false" outlineLevel="0" collapsed="false">
      <c r="C219" s="12"/>
      <c r="D219" s="12"/>
      <c r="E219" s="12"/>
      <c r="F219" s="12"/>
      <c r="G219" s="12"/>
      <c r="H219" s="12"/>
      <c r="I219" s="12"/>
      <c r="J219" s="12"/>
      <c r="K219" s="12"/>
      <c r="L219" s="158"/>
    </row>
    <row r="220" customFormat="false" ht="12.75" hidden="false" customHeight="false" outlineLevel="0" collapsed="false">
      <c r="C220" s="12"/>
      <c r="D220" s="12"/>
      <c r="E220" s="12"/>
      <c r="F220" s="12"/>
      <c r="G220" s="12"/>
      <c r="H220" s="12"/>
      <c r="I220" s="12"/>
      <c r="J220" s="12"/>
      <c r="K220" s="12"/>
      <c r="L220" s="158"/>
    </row>
    <row r="221" customFormat="false" ht="12.75" hidden="false" customHeight="false" outlineLevel="0" collapsed="false">
      <c r="C221" s="12"/>
      <c r="D221" s="12"/>
      <c r="E221" s="12"/>
      <c r="F221" s="12"/>
      <c r="G221" s="12"/>
      <c r="H221" s="12"/>
      <c r="I221" s="12"/>
      <c r="J221" s="12"/>
      <c r="K221" s="12"/>
      <c r="L221" s="158"/>
    </row>
    <row r="222" customFormat="false" ht="12.75" hidden="false" customHeight="false" outlineLevel="0" collapsed="false">
      <c r="C222" s="12"/>
      <c r="D222" s="12"/>
      <c r="E222" s="12"/>
      <c r="F222" s="12"/>
      <c r="G222" s="12"/>
      <c r="H222" s="12"/>
      <c r="I222" s="12"/>
      <c r="J222" s="12"/>
      <c r="K222" s="12"/>
      <c r="L222" s="158"/>
    </row>
    <row r="223" customFormat="false" ht="12.75" hidden="false" customHeight="false" outlineLevel="0" collapsed="false">
      <c r="C223" s="12"/>
      <c r="D223" s="12"/>
      <c r="E223" s="12"/>
      <c r="F223" s="12"/>
      <c r="G223" s="12"/>
      <c r="H223" s="12"/>
      <c r="I223" s="12"/>
      <c r="J223" s="12"/>
      <c r="K223" s="12"/>
      <c r="L223" s="158"/>
    </row>
    <row r="224" customFormat="false" ht="12.75" hidden="false" customHeight="false" outlineLevel="0" collapsed="false">
      <c r="C224" s="12"/>
      <c r="D224" s="12"/>
      <c r="E224" s="12"/>
      <c r="F224" s="12"/>
      <c r="G224" s="12"/>
      <c r="H224" s="12"/>
      <c r="I224" s="12"/>
      <c r="J224" s="12"/>
      <c r="K224" s="12"/>
      <c r="L224" s="158"/>
    </row>
    <row r="225" customFormat="false" ht="12.75" hidden="false" customHeight="false" outlineLevel="0" collapsed="false">
      <c r="C225" s="12"/>
      <c r="D225" s="12"/>
      <c r="E225" s="12"/>
      <c r="F225" s="12"/>
      <c r="G225" s="12"/>
      <c r="H225" s="12"/>
      <c r="I225" s="12"/>
      <c r="J225" s="12"/>
      <c r="K225" s="12"/>
      <c r="L225" s="158"/>
    </row>
    <row r="226" customFormat="false" ht="12.75" hidden="false" customHeight="false" outlineLevel="0" collapsed="false">
      <c r="C226" s="12"/>
      <c r="D226" s="12"/>
      <c r="E226" s="12"/>
      <c r="F226" s="12"/>
      <c r="G226" s="12"/>
      <c r="H226" s="12"/>
      <c r="I226" s="12"/>
      <c r="J226" s="12"/>
      <c r="K226" s="12"/>
      <c r="L226" s="158"/>
    </row>
    <row r="227" customFormat="false" ht="12.75" hidden="false" customHeight="false" outlineLevel="0" collapsed="false">
      <c r="C227" s="12"/>
      <c r="D227" s="12"/>
      <c r="E227" s="12"/>
      <c r="F227" s="12"/>
      <c r="G227" s="12"/>
      <c r="H227" s="12"/>
      <c r="I227" s="12"/>
      <c r="J227" s="12"/>
      <c r="K227" s="12"/>
      <c r="L227" s="158"/>
    </row>
    <row r="228" customFormat="false" ht="12.75" hidden="false" customHeight="false" outlineLevel="0" collapsed="false">
      <c r="C228" s="12"/>
      <c r="D228" s="12"/>
      <c r="E228" s="12"/>
      <c r="F228" s="12"/>
      <c r="G228" s="12"/>
      <c r="H228" s="12"/>
      <c r="I228" s="12"/>
      <c r="J228" s="12"/>
      <c r="K228" s="12"/>
      <c r="L228" s="158"/>
    </row>
    <row r="229" customFormat="false" ht="12.75" hidden="false" customHeight="false" outlineLevel="0" collapsed="false">
      <c r="C229" s="12"/>
      <c r="D229" s="12"/>
      <c r="E229" s="12"/>
      <c r="F229" s="12"/>
      <c r="G229" s="12"/>
      <c r="H229" s="12"/>
      <c r="I229" s="12"/>
      <c r="J229" s="12"/>
      <c r="K229" s="12"/>
      <c r="L229" s="158"/>
    </row>
    <row r="230" customFormat="false" ht="12.75" hidden="false" customHeight="false" outlineLevel="0" collapsed="false">
      <c r="C230" s="12"/>
      <c r="D230" s="12"/>
      <c r="E230" s="12"/>
      <c r="F230" s="12"/>
      <c r="G230" s="12"/>
      <c r="H230" s="12"/>
      <c r="I230" s="12"/>
      <c r="J230" s="12"/>
      <c r="K230" s="12"/>
      <c r="L230" s="158"/>
    </row>
    <row r="231" customFormat="false" ht="12.75" hidden="false" customHeight="false" outlineLevel="0" collapsed="false">
      <c r="C231" s="12"/>
      <c r="D231" s="12"/>
      <c r="E231" s="12"/>
      <c r="F231" s="12"/>
      <c r="G231" s="12"/>
      <c r="H231" s="12"/>
      <c r="I231" s="12"/>
      <c r="J231" s="12"/>
      <c r="K231" s="12"/>
      <c r="L231" s="158"/>
    </row>
    <row r="232" customFormat="false" ht="12.75" hidden="false" customHeight="false" outlineLevel="0" collapsed="false">
      <c r="C232" s="12"/>
      <c r="D232" s="12"/>
      <c r="E232" s="12"/>
      <c r="F232" s="12"/>
      <c r="G232" s="12"/>
      <c r="H232" s="12"/>
      <c r="I232" s="12"/>
      <c r="J232" s="12"/>
      <c r="K232" s="12"/>
      <c r="L232" s="158"/>
    </row>
    <row r="233" customFormat="false" ht="12.75" hidden="false" customHeight="false" outlineLevel="0" collapsed="false">
      <c r="C233" s="12"/>
      <c r="D233" s="12"/>
      <c r="E233" s="12"/>
      <c r="F233" s="12"/>
      <c r="G233" s="12"/>
      <c r="H233" s="12"/>
      <c r="I233" s="12"/>
      <c r="J233" s="12"/>
      <c r="K233" s="12"/>
      <c r="L233" s="158"/>
    </row>
    <row r="234" customFormat="false" ht="12.75" hidden="false" customHeight="false" outlineLevel="0" collapsed="false">
      <c r="C234" s="12"/>
      <c r="D234" s="12"/>
      <c r="E234" s="12"/>
      <c r="F234" s="12"/>
      <c r="G234" s="12"/>
      <c r="H234" s="12"/>
      <c r="I234" s="12"/>
      <c r="J234" s="12"/>
      <c r="K234" s="12"/>
      <c r="L234" s="158"/>
    </row>
    <row r="235" customFormat="false" ht="12.75" hidden="false" customHeight="false" outlineLevel="0" collapsed="false">
      <c r="C235" s="12"/>
      <c r="D235" s="12"/>
      <c r="E235" s="12"/>
      <c r="F235" s="12"/>
      <c r="G235" s="12"/>
      <c r="H235" s="12"/>
      <c r="I235" s="12"/>
      <c r="J235" s="12"/>
      <c r="K235" s="12"/>
      <c r="L235" s="158"/>
    </row>
    <row r="236" customFormat="false" ht="12.75" hidden="false" customHeight="false" outlineLevel="0" collapsed="false">
      <c r="C236" s="12"/>
      <c r="D236" s="12"/>
      <c r="E236" s="12"/>
      <c r="F236" s="12"/>
      <c r="G236" s="12"/>
      <c r="H236" s="12"/>
      <c r="I236" s="12"/>
      <c r="J236" s="12"/>
      <c r="K236" s="12"/>
      <c r="L236" s="158"/>
    </row>
    <row r="237" customFormat="false" ht="12.75" hidden="false" customHeight="false" outlineLevel="0" collapsed="false">
      <c r="C237" s="12"/>
      <c r="D237" s="12"/>
      <c r="E237" s="12"/>
      <c r="F237" s="12"/>
      <c r="G237" s="12"/>
      <c r="H237" s="12"/>
      <c r="I237" s="12"/>
      <c r="J237" s="12"/>
      <c r="K237" s="12"/>
      <c r="L237" s="158"/>
    </row>
    <row r="238" customFormat="false" ht="12.75" hidden="false" customHeight="false" outlineLevel="0" collapsed="false">
      <c r="C238" s="12"/>
      <c r="D238" s="12"/>
      <c r="E238" s="12"/>
      <c r="F238" s="12"/>
      <c r="G238" s="12"/>
      <c r="H238" s="12"/>
      <c r="I238" s="12"/>
      <c r="J238" s="12"/>
      <c r="K238" s="12"/>
      <c r="L238" s="158"/>
    </row>
    <row r="239" customFormat="false" ht="12.75" hidden="false" customHeight="false" outlineLevel="0" collapsed="false">
      <c r="C239" s="12"/>
      <c r="D239" s="12"/>
      <c r="E239" s="12"/>
      <c r="F239" s="12"/>
      <c r="G239" s="12"/>
      <c r="H239" s="12"/>
      <c r="I239" s="12"/>
      <c r="J239" s="12"/>
      <c r="K239" s="12"/>
      <c r="L239" s="158"/>
    </row>
    <row r="240" customFormat="false" ht="12.75" hidden="false" customHeight="false" outlineLevel="0" collapsed="false">
      <c r="C240" s="12"/>
      <c r="D240" s="12"/>
      <c r="E240" s="12"/>
      <c r="F240" s="12"/>
      <c r="G240" s="12"/>
      <c r="H240" s="12"/>
      <c r="I240" s="12"/>
      <c r="J240" s="12"/>
      <c r="K240" s="12"/>
      <c r="L240" s="158"/>
    </row>
    <row r="241" customFormat="false" ht="12.75" hidden="false" customHeight="false" outlineLevel="0" collapsed="false">
      <c r="C241" s="12"/>
      <c r="D241" s="12"/>
      <c r="E241" s="12"/>
      <c r="F241" s="12"/>
      <c r="G241" s="12"/>
      <c r="H241" s="12"/>
      <c r="I241" s="12"/>
      <c r="J241" s="12"/>
      <c r="K241" s="12"/>
      <c r="L241" s="158"/>
    </row>
    <row r="242" customFormat="false" ht="12.75" hidden="false" customHeight="false" outlineLevel="0" collapsed="false">
      <c r="C242" s="12"/>
      <c r="D242" s="12"/>
      <c r="E242" s="12"/>
      <c r="F242" s="12"/>
      <c r="G242" s="12"/>
      <c r="H242" s="12"/>
      <c r="I242" s="12"/>
      <c r="J242" s="12"/>
      <c r="K242" s="12"/>
      <c r="L242" s="158"/>
    </row>
    <row r="243" customFormat="false" ht="12.75" hidden="false" customHeight="false" outlineLevel="0" collapsed="false">
      <c r="C243" s="12"/>
      <c r="D243" s="12"/>
      <c r="E243" s="12"/>
      <c r="F243" s="12"/>
      <c r="G243" s="12"/>
      <c r="H243" s="12"/>
      <c r="I243" s="12"/>
      <c r="J243" s="12"/>
      <c r="K243" s="12"/>
      <c r="L243" s="158"/>
    </row>
    <row r="244" customFormat="false" ht="12.75" hidden="false" customHeight="false" outlineLevel="0" collapsed="false">
      <c r="C244" s="12"/>
      <c r="D244" s="12"/>
      <c r="E244" s="12"/>
      <c r="F244" s="12"/>
      <c r="G244" s="12"/>
      <c r="H244" s="12"/>
      <c r="I244" s="12"/>
      <c r="J244" s="12"/>
      <c r="K244" s="12"/>
      <c r="L244" s="158"/>
    </row>
    <row r="245" customFormat="false" ht="12.75" hidden="false" customHeight="false" outlineLevel="0" collapsed="false">
      <c r="C245" s="12"/>
      <c r="D245" s="12"/>
      <c r="E245" s="12"/>
      <c r="F245" s="12"/>
      <c r="G245" s="12"/>
      <c r="H245" s="12"/>
      <c r="I245" s="12"/>
      <c r="J245" s="12"/>
      <c r="K245" s="12"/>
      <c r="L245" s="158"/>
    </row>
    <row r="246" customFormat="false" ht="12.75" hidden="false" customHeight="false" outlineLevel="0" collapsed="false">
      <c r="C246" s="12"/>
      <c r="D246" s="12"/>
      <c r="E246" s="12"/>
      <c r="F246" s="12"/>
      <c r="G246" s="12"/>
      <c r="H246" s="12"/>
      <c r="I246" s="12"/>
      <c r="J246" s="12"/>
      <c r="K246" s="12"/>
      <c r="L246" s="158"/>
    </row>
    <row r="247" customFormat="false" ht="12.75" hidden="false" customHeight="false" outlineLevel="0" collapsed="false">
      <c r="C247" s="12"/>
      <c r="D247" s="12"/>
      <c r="E247" s="12"/>
      <c r="F247" s="12"/>
      <c r="G247" s="12"/>
      <c r="H247" s="12"/>
      <c r="I247" s="12"/>
      <c r="J247" s="12"/>
      <c r="K247" s="12"/>
      <c r="L247" s="158"/>
    </row>
    <row r="248" customFormat="false" ht="12.75" hidden="false" customHeight="false" outlineLevel="0" collapsed="false">
      <c r="C248" s="12"/>
      <c r="D248" s="12"/>
      <c r="E248" s="12"/>
      <c r="F248" s="12"/>
      <c r="G248" s="12"/>
      <c r="H248" s="12"/>
      <c r="I248" s="12"/>
      <c r="J248" s="12"/>
      <c r="K248" s="12"/>
      <c r="L248" s="158"/>
    </row>
    <row r="249" customFormat="false" ht="12.75" hidden="false" customHeight="false" outlineLevel="0" collapsed="false">
      <c r="C249" s="12"/>
      <c r="D249" s="12"/>
      <c r="E249" s="12"/>
      <c r="F249" s="12"/>
      <c r="G249" s="12"/>
      <c r="H249" s="12"/>
      <c r="I249" s="12"/>
      <c r="J249" s="12"/>
      <c r="K249" s="12"/>
      <c r="L249" s="158"/>
    </row>
    <row r="250" customFormat="false" ht="12.75" hidden="false" customHeight="false" outlineLevel="0" collapsed="false">
      <c r="C250" s="12"/>
      <c r="D250" s="12"/>
      <c r="E250" s="12"/>
      <c r="F250" s="12"/>
      <c r="G250" s="12"/>
      <c r="H250" s="12"/>
      <c r="I250" s="12"/>
      <c r="J250" s="12"/>
      <c r="K250" s="12"/>
      <c r="L250" s="158"/>
    </row>
    <row r="251" customFormat="false" ht="12.75" hidden="false" customHeight="false" outlineLevel="0" collapsed="false">
      <c r="C251" s="12"/>
      <c r="D251" s="12"/>
      <c r="E251" s="12"/>
      <c r="F251" s="12"/>
      <c r="G251" s="12"/>
      <c r="H251" s="12"/>
      <c r="I251" s="12"/>
      <c r="J251" s="12"/>
      <c r="K251" s="12"/>
      <c r="L251" s="158"/>
    </row>
    <row r="252" customFormat="false" ht="12.75" hidden="false" customHeight="false" outlineLevel="0" collapsed="false">
      <c r="C252" s="12"/>
      <c r="D252" s="12"/>
      <c r="E252" s="12"/>
      <c r="F252" s="12"/>
      <c r="G252" s="12"/>
      <c r="H252" s="12"/>
      <c r="I252" s="12"/>
      <c r="J252" s="12"/>
      <c r="K252" s="12"/>
      <c r="L252" s="158"/>
    </row>
    <row r="253" customFormat="false" ht="12.75" hidden="false" customHeight="false" outlineLevel="0" collapsed="false">
      <c r="C253" s="12"/>
      <c r="D253" s="12"/>
      <c r="E253" s="12"/>
      <c r="F253" s="12"/>
      <c r="G253" s="12"/>
      <c r="H253" s="12"/>
      <c r="I253" s="12"/>
      <c r="J253" s="12"/>
      <c r="K253" s="12"/>
      <c r="L253" s="158"/>
    </row>
    <row r="254" customFormat="false" ht="12.75" hidden="false" customHeight="false" outlineLevel="0" collapsed="false">
      <c r="C254" s="12"/>
      <c r="D254" s="12"/>
      <c r="E254" s="12"/>
      <c r="F254" s="12"/>
      <c r="G254" s="12"/>
      <c r="H254" s="12"/>
      <c r="I254" s="12"/>
      <c r="J254" s="12"/>
      <c r="K254" s="12"/>
      <c r="L254" s="158"/>
    </row>
    <row r="255" customFormat="false" ht="12.75" hidden="false" customHeight="false" outlineLevel="0" collapsed="false">
      <c r="C255" s="12"/>
      <c r="D255" s="12"/>
      <c r="E255" s="12"/>
      <c r="F255" s="12"/>
      <c r="G255" s="12"/>
      <c r="H255" s="12"/>
      <c r="I255" s="12"/>
      <c r="J255" s="12"/>
      <c r="K255" s="12"/>
      <c r="L255" s="158"/>
    </row>
    <row r="256" customFormat="false" ht="12.75" hidden="false" customHeight="false" outlineLevel="0" collapsed="false">
      <c r="C256" s="12"/>
      <c r="D256" s="12"/>
      <c r="E256" s="12"/>
      <c r="F256" s="12"/>
      <c r="G256" s="12"/>
      <c r="H256" s="12"/>
      <c r="I256" s="12"/>
      <c r="J256" s="12"/>
      <c r="K256" s="12"/>
      <c r="L256" s="158"/>
    </row>
    <row r="257" customFormat="false" ht="12.75" hidden="false" customHeight="false" outlineLevel="0" collapsed="false">
      <c r="C257" s="12"/>
      <c r="D257" s="12"/>
      <c r="E257" s="12"/>
      <c r="F257" s="12"/>
      <c r="G257" s="12"/>
      <c r="H257" s="12"/>
      <c r="I257" s="12"/>
      <c r="J257" s="12"/>
      <c r="K257" s="12"/>
      <c r="L257" s="158"/>
    </row>
    <row r="258" customFormat="false" ht="12.75" hidden="false" customHeight="false" outlineLevel="0" collapsed="false">
      <c r="C258" s="12"/>
      <c r="D258" s="12"/>
      <c r="E258" s="12"/>
      <c r="F258" s="12"/>
      <c r="G258" s="12"/>
      <c r="H258" s="12"/>
      <c r="I258" s="12"/>
      <c r="J258" s="12"/>
      <c r="K258" s="12"/>
      <c r="L258" s="158"/>
    </row>
    <row r="259" customFormat="false" ht="12.75" hidden="false" customHeight="false" outlineLevel="0" collapsed="false">
      <c r="C259" s="12"/>
      <c r="D259" s="12"/>
      <c r="E259" s="12"/>
      <c r="F259" s="12"/>
      <c r="G259" s="12"/>
      <c r="H259" s="12"/>
      <c r="I259" s="12"/>
      <c r="J259" s="12"/>
      <c r="K259" s="12"/>
      <c r="L259" s="158"/>
    </row>
    <row r="260" customFormat="false" ht="12.75" hidden="false" customHeight="false" outlineLevel="0" collapsed="false">
      <c r="C260" s="12"/>
      <c r="D260" s="12"/>
      <c r="E260" s="12"/>
      <c r="F260" s="12"/>
      <c r="G260" s="12"/>
      <c r="H260" s="12"/>
      <c r="I260" s="12"/>
      <c r="J260" s="12"/>
      <c r="K260" s="12"/>
      <c r="L260" s="158"/>
    </row>
    <row r="261" customFormat="false" ht="12.75" hidden="false" customHeight="false" outlineLevel="0" collapsed="false">
      <c r="C261" s="12"/>
      <c r="D261" s="12"/>
      <c r="E261" s="12"/>
      <c r="F261" s="12"/>
      <c r="G261" s="12"/>
      <c r="H261" s="12"/>
      <c r="I261" s="12"/>
      <c r="J261" s="12"/>
      <c r="K261" s="12"/>
      <c r="L261" s="158"/>
    </row>
    <row r="262" customFormat="false" ht="12.75" hidden="false" customHeight="false" outlineLevel="0" collapsed="false">
      <c r="C262" s="12"/>
      <c r="D262" s="12"/>
      <c r="E262" s="12"/>
      <c r="F262" s="12"/>
      <c r="G262" s="12"/>
      <c r="H262" s="12"/>
      <c r="I262" s="12"/>
      <c r="J262" s="12"/>
      <c r="K262" s="12"/>
      <c r="L262" s="158"/>
    </row>
    <row r="263" customFormat="false" ht="12.75" hidden="false" customHeight="false" outlineLevel="0" collapsed="false">
      <c r="C263" s="12"/>
      <c r="D263" s="12"/>
      <c r="E263" s="12"/>
      <c r="F263" s="12"/>
      <c r="G263" s="12"/>
      <c r="H263" s="12"/>
      <c r="I263" s="12"/>
      <c r="J263" s="12"/>
      <c r="K263" s="12"/>
      <c r="L263" s="158"/>
    </row>
    <row r="264" customFormat="false" ht="12.75" hidden="false" customHeight="false" outlineLevel="0" collapsed="false">
      <c r="C264" s="12"/>
      <c r="D264" s="12"/>
      <c r="E264" s="12"/>
      <c r="F264" s="12"/>
      <c r="G264" s="12"/>
      <c r="H264" s="12"/>
      <c r="I264" s="12"/>
      <c r="J264" s="12"/>
      <c r="K264" s="12"/>
      <c r="L264" s="158"/>
    </row>
    <row r="265" customFormat="false" ht="12.75" hidden="false" customHeight="false" outlineLevel="0" collapsed="false">
      <c r="C265" s="12"/>
      <c r="D265" s="12"/>
      <c r="E265" s="12"/>
      <c r="F265" s="12"/>
      <c r="G265" s="12"/>
      <c r="H265" s="12"/>
      <c r="I265" s="12"/>
      <c r="J265" s="12"/>
      <c r="K265" s="12"/>
      <c r="L265" s="158"/>
    </row>
    <row r="266" customFormat="false" ht="12.75" hidden="false" customHeight="false" outlineLevel="0" collapsed="false">
      <c r="C266" s="12"/>
      <c r="D266" s="12"/>
      <c r="E266" s="12"/>
      <c r="F266" s="12"/>
      <c r="G266" s="12"/>
      <c r="H266" s="12"/>
      <c r="I266" s="12"/>
      <c r="J266" s="12"/>
      <c r="K266" s="12"/>
      <c r="L266" s="158"/>
    </row>
    <row r="267" customFormat="false" ht="12.75" hidden="false" customHeight="false" outlineLevel="0" collapsed="false">
      <c r="C267" s="12"/>
      <c r="D267" s="12"/>
      <c r="E267" s="12"/>
      <c r="F267" s="12"/>
      <c r="G267" s="12"/>
      <c r="H267" s="12"/>
      <c r="I267" s="12"/>
      <c r="J267" s="12"/>
      <c r="K267" s="12"/>
      <c r="L267" s="158"/>
    </row>
    <row r="268" customFormat="false" ht="12.75" hidden="false" customHeight="false" outlineLevel="0" collapsed="false">
      <c r="C268" s="12"/>
      <c r="D268" s="12"/>
      <c r="E268" s="12"/>
      <c r="F268" s="12"/>
      <c r="G268" s="12"/>
      <c r="H268" s="12"/>
      <c r="I268" s="12"/>
      <c r="J268" s="12"/>
      <c r="K268" s="12"/>
      <c r="L268" s="158"/>
    </row>
    <row r="269" customFormat="false" ht="12.75" hidden="false" customHeight="false" outlineLevel="0" collapsed="false">
      <c r="C269" s="12"/>
      <c r="D269" s="12"/>
      <c r="E269" s="12"/>
      <c r="F269" s="12"/>
      <c r="G269" s="12"/>
      <c r="H269" s="12"/>
      <c r="I269" s="12"/>
      <c r="J269" s="12"/>
      <c r="K269" s="12"/>
      <c r="L269" s="158"/>
    </row>
    <row r="270" customFormat="false" ht="12.75" hidden="false" customHeight="false" outlineLevel="0" collapsed="false">
      <c r="C270" s="12"/>
      <c r="D270" s="12"/>
      <c r="E270" s="12"/>
      <c r="F270" s="12"/>
      <c r="G270" s="12"/>
      <c r="H270" s="12"/>
      <c r="I270" s="12"/>
      <c r="J270" s="12"/>
      <c r="K270" s="12"/>
      <c r="L270" s="158"/>
    </row>
    <row r="271" customFormat="false" ht="12.75" hidden="false" customHeight="false" outlineLevel="0" collapsed="false">
      <c r="C271" s="12"/>
      <c r="D271" s="12"/>
      <c r="E271" s="12"/>
      <c r="F271" s="12"/>
      <c r="G271" s="12"/>
      <c r="H271" s="12"/>
      <c r="I271" s="12"/>
      <c r="J271" s="12"/>
      <c r="K271" s="12"/>
      <c r="L271" s="158"/>
    </row>
    <row r="272" customFormat="false" ht="12.75" hidden="false" customHeight="false" outlineLevel="0" collapsed="false">
      <c r="C272" s="12"/>
      <c r="D272" s="12"/>
      <c r="E272" s="12"/>
      <c r="F272" s="12"/>
      <c r="G272" s="12"/>
      <c r="H272" s="12"/>
      <c r="I272" s="12"/>
      <c r="J272" s="12"/>
      <c r="K272" s="12"/>
      <c r="L272" s="158"/>
    </row>
    <row r="273" customFormat="false" ht="12.75" hidden="false" customHeight="false" outlineLevel="0" collapsed="false">
      <c r="C273" s="12"/>
      <c r="D273" s="12"/>
      <c r="E273" s="12"/>
      <c r="F273" s="12"/>
      <c r="G273" s="12"/>
      <c r="H273" s="12"/>
      <c r="I273" s="12"/>
      <c r="J273" s="12"/>
      <c r="K273" s="12"/>
      <c r="L273" s="158"/>
    </row>
    <row r="274" customFormat="false" ht="12.75" hidden="false" customHeight="false" outlineLevel="0" collapsed="false">
      <c r="C274" s="12"/>
      <c r="D274" s="12"/>
      <c r="E274" s="12"/>
      <c r="F274" s="12"/>
      <c r="G274" s="12"/>
      <c r="H274" s="12"/>
      <c r="I274" s="12"/>
      <c r="J274" s="12"/>
      <c r="K274" s="12"/>
      <c r="L274" s="158"/>
    </row>
    <row r="275" customFormat="false" ht="12.75" hidden="false" customHeight="false" outlineLevel="0" collapsed="false">
      <c r="C275" s="12"/>
      <c r="D275" s="12"/>
      <c r="E275" s="12"/>
      <c r="F275" s="12"/>
      <c r="G275" s="12"/>
      <c r="H275" s="12"/>
      <c r="I275" s="12"/>
      <c r="J275" s="12"/>
      <c r="K275" s="12"/>
      <c r="L275" s="158"/>
    </row>
    <row r="276" customFormat="false" ht="12.75" hidden="false" customHeight="false" outlineLevel="0" collapsed="false">
      <c r="C276" s="12"/>
      <c r="D276" s="12"/>
      <c r="E276" s="12"/>
      <c r="F276" s="12"/>
      <c r="G276" s="12"/>
      <c r="H276" s="12"/>
      <c r="I276" s="12"/>
      <c r="J276" s="12"/>
      <c r="K276" s="12"/>
      <c r="L276" s="158"/>
    </row>
    <row r="277" customFormat="false" ht="12.75" hidden="false" customHeight="false" outlineLevel="0" collapsed="false">
      <c r="C277" s="12"/>
      <c r="D277" s="12"/>
      <c r="E277" s="12"/>
      <c r="F277" s="12"/>
      <c r="G277" s="12"/>
      <c r="H277" s="12"/>
      <c r="I277" s="12"/>
      <c r="J277" s="12"/>
      <c r="K277" s="12"/>
      <c r="L277" s="158"/>
    </row>
    <row r="278" customFormat="false" ht="12.75" hidden="false" customHeight="false" outlineLevel="0" collapsed="false">
      <c r="C278" s="12"/>
      <c r="D278" s="12"/>
      <c r="E278" s="12"/>
      <c r="F278" s="12"/>
      <c r="G278" s="12"/>
      <c r="H278" s="12"/>
      <c r="I278" s="12"/>
      <c r="J278" s="12"/>
      <c r="K278" s="12"/>
      <c r="L278" s="158"/>
    </row>
    <row r="279" customFormat="false" ht="12.75" hidden="false" customHeight="false" outlineLevel="0" collapsed="false">
      <c r="C279" s="12"/>
      <c r="D279" s="12"/>
      <c r="E279" s="12"/>
      <c r="F279" s="12"/>
      <c r="G279" s="12"/>
      <c r="H279" s="12"/>
      <c r="I279" s="12"/>
      <c r="J279" s="12"/>
      <c r="K279" s="12"/>
      <c r="L279" s="158"/>
    </row>
    <row r="280" customFormat="false" ht="12.75" hidden="false" customHeight="false" outlineLevel="0" collapsed="false">
      <c r="C280" s="12"/>
      <c r="D280" s="12"/>
      <c r="E280" s="12"/>
      <c r="F280" s="12"/>
      <c r="G280" s="12"/>
      <c r="H280" s="12"/>
      <c r="I280" s="12"/>
      <c r="J280" s="12"/>
      <c r="K280" s="12"/>
      <c r="L280" s="158"/>
    </row>
    <row r="281" customFormat="false" ht="12.75" hidden="false" customHeight="false" outlineLevel="0" collapsed="false">
      <c r="C281" s="12"/>
      <c r="D281" s="12"/>
      <c r="E281" s="12"/>
      <c r="F281" s="12"/>
      <c r="G281" s="12"/>
      <c r="H281" s="12"/>
      <c r="I281" s="12"/>
      <c r="J281" s="12"/>
      <c r="K281" s="12"/>
      <c r="L281" s="158"/>
    </row>
    <row r="282" customFormat="false" ht="12.75" hidden="false" customHeight="false" outlineLevel="0" collapsed="false">
      <c r="C282" s="12"/>
      <c r="D282" s="12"/>
      <c r="E282" s="12"/>
      <c r="F282" s="12"/>
      <c r="G282" s="12"/>
      <c r="H282" s="12"/>
      <c r="I282" s="12"/>
      <c r="J282" s="12"/>
      <c r="K282" s="12"/>
      <c r="L282" s="158"/>
    </row>
    <row r="283" customFormat="false" ht="12.75" hidden="false" customHeight="false" outlineLevel="0" collapsed="false">
      <c r="C283" s="12"/>
      <c r="D283" s="12"/>
      <c r="E283" s="12"/>
      <c r="F283" s="12"/>
      <c r="G283" s="12"/>
      <c r="H283" s="12"/>
      <c r="I283" s="12"/>
      <c r="J283" s="12"/>
      <c r="K283" s="12"/>
      <c r="L283" s="158"/>
    </row>
    <row r="284" customFormat="false" ht="12.75" hidden="false" customHeight="false" outlineLevel="0" collapsed="false">
      <c r="C284" s="12"/>
      <c r="D284" s="12"/>
      <c r="E284" s="12"/>
      <c r="F284" s="12"/>
      <c r="G284" s="12"/>
      <c r="H284" s="12"/>
      <c r="I284" s="12"/>
      <c r="J284" s="12"/>
      <c r="K284" s="12"/>
      <c r="L284" s="158"/>
    </row>
    <row r="285" customFormat="false" ht="12.75" hidden="false" customHeight="false" outlineLevel="0" collapsed="false">
      <c r="C285" s="12"/>
      <c r="D285" s="12"/>
      <c r="E285" s="12"/>
      <c r="F285" s="12"/>
      <c r="G285" s="12"/>
      <c r="H285" s="12"/>
      <c r="I285" s="12"/>
      <c r="J285" s="12"/>
      <c r="K285" s="12"/>
      <c r="L285" s="158"/>
    </row>
    <row r="286" customFormat="false" ht="12.75" hidden="false" customHeight="false" outlineLevel="0" collapsed="false">
      <c r="C286" s="12"/>
      <c r="D286" s="12"/>
      <c r="E286" s="12"/>
      <c r="F286" s="12"/>
      <c r="G286" s="12"/>
      <c r="H286" s="12"/>
      <c r="I286" s="12"/>
      <c r="J286" s="12"/>
      <c r="K286" s="12"/>
      <c r="L286" s="158"/>
    </row>
    <row r="287" customFormat="false" ht="12.75" hidden="false" customHeight="false" outlineLevel="0" collapsed="false">
      <c r="C287" s="12"/>
      <c r="D287" s="12"/>
      <c r="E287" s="12"/>
      <c r="F287" s="12"/>
      <c r="G287" s="12"/>
      <c r="H287" s="12"/>
      <c r="I287" s="12"/>
      <c r="J287" s="12"/>
      <c r="K287" s="12"/>
      <c r="L287" s="158"/>
    </row>
    <row r="288" customFormat="false" ht="12.75" hidden="false" customHeight="false" outlineLevel="0" collapsed="false">
      <c r="C288" s="12"/>
      <c r="D288" s="12"/>
      <c r="E288" s="12"/>
      <c r="F288" s="12"/>
      <c r="G288" s="12"/>
      <c r="H288" s="12"/>
      <c r="I288" s="12"/>
      <c r="J288" s="12"/>
      <c r="K288" s="12"/>
      <c r="L288" s="158"/>
    </row>
    <row r="289" customFormat="false" ht="12.75" hidden="false" customHeight="false" outlineLevel="0" collapsed="false">
      <c r="C289" s="12"/>
      <c r="D289" s="12"/>
      <c r="E289" s="12"/>
      <c r="F289" s="12"/>
      <c r="G289" s="12"/>
      <c r="H289" s="12"/>
      <c r="I289" s="12"/>
      <c r="J289" s="12"/>
      <c r="K289" s="12"/>
      <c r="L289" s="158"/>
    </row>
    <row r="290" customFormat="false" ht="12.75" hidden="false" customHeight="false" outlineLevel="0" collapsed="false">
      <c r="C290" s="12"/>
      <c r="D290" s="12"/>
      <c r="E290" s="12"/>
      <c r="F290" s="12"/>
      <c r="G290" s="12"/>
      <c r="H290" s="12"/>
      <c r="I290" s="12"/>
      <c r="J290" s="12"/>
      <c r="K290" s="12"/>
      <c r="L290" s="158"/>
    </row>
    <row r="291" customFormat="false" ht="12.75" hidden="false" customHeight="false" outlineLevel="0" collapsed="false">
      <c r="C291" s="12"/>
      <c r="D291" s="12"/>
      <c r="E291" s="12"/>
      <c r="F291" s="12"/>
      <c r="G291" s="12"/>
      <c r="H291" s="12"/>
      <c r="I291" s="12"/>
      <c r="J291" s="12"/>
      <c r="K291" s="12"/>
      <c r="L291" s="158"/>
    </row>
    <row r="292" customFormat="false" ht="12.75" hidden="false" customHeight="false" outlineLevel="0" collapsed="false">
      <c r="C292" s="12"/>
      <c r="D292" s="12"/>
      <c r="E292" s="12"/>
      <c r="F292" s="12"/>
      <c r="G292" s="12"/>
      <c r="H292" s="12"/>
      <c r="I292" s="12"/>
      <c r="J292" s="12"/>
      <c r="K292" s="12"/>
      <c r="L292" s="158"/>
    </row>
    <row r="293" customFormat="false" ht="12.75" hidden="false" customHeight="false" outlineLevel="0" collapsed="false">
      <c r="C293" s="12"/>
      <c r="D293" s="12"/>
      <c r="E293" s="12"/>
      <c r="F293" s="12"/>
      <c r="G293" s="12"/>
      <c r="H293" s="12"/>
      <c r="I293" s="12"/>
      <c r="J293" s="12"/>
      <c r="K293" s="12"/>
      <c r="L293" s="158"/>
    </row>
    <row r="294" customFormat="false" ht="12.75" hidden="false" customHeight="false" outlineLevel="0" collapsed="false">
      <c r="C294" s="12"/>
      <c r="D294" s="12"/>
      <c r="E294" s="12"/>
      <c r="F294" s="12"/>
      <c r="G294" s="12"/>
      <c r="H294" s="12"/>
      <c r="I294" s="12"/>
      <c r="J294" s="12"/>
      <c r="K294" s="12"/>
      <c r="L294" s="158"/>
    </row>
    <row r="295" customFormat="false" ht="12.75" hidden="false" customHeight="false" outlineLevel="0" collapsed="false">
      <c r="C295" s="12"/>
      <c r="D295" s="12"/>
      <c r="E295" s="12"/>
      <c r="F295" s="12"/>
      <c r="G295" s="12"/>
      <c r="H295" s="12"/>
      <c r="I295" s="12"/>
      <c r="J295" s="12"/>
      <c r="K295" s="12"/>
      <c r="L295" s="158"/>
    </row>
    <row r="296" customFormat="false" ht="12.75" hidden="false" customHeight="false" outlineLevel="0" collapsed="false">
      <c r="C296" s="12"/>
      <c r="D296" s="12"/>
      <c r="E296" s="12"/>
      <c r="F296" s="12"/>
      <c r="G296" s="12"/>
      <c r="H296" s="12"/>
      <c r="I296" s="12"/>
      <c r="J296" s="12"/>
      <c r="K296" s="12"/>
      <c r="L296" s="158"/>
    </row>
    <row r="297" customFormat="false" ht="12.75" hidden="false" customHeight="false" outlineLevel="0" collapsed="false">
      <c r="C297" s="12"/>
      <c r="D297" s="12"/>
      <c r="E297" s="12"/>
      <c r="F297" s="12"/>
      <c r="G297" s="12"/>
      <c r="H297" s="12"/>
      <c r="I297" s="12"/>
      <c r="J297" s="12"/>
      <c r="K297" s="12"/>
      <c r="L297" s="158"/>
    </row>
    <row r="298" customFormat="false" ht="12.75" hidden="false" customHeight="false" outlineLevel="0" collapsed="false">
      <c r="C298" s="12"/>
      <c r="D298" s="12"/>
      <c r="E298" s="12"/>
      <c r="F298" s="12"/>
      <c r="G298" s="12"/>
      <c r="H298" s="12"/>
      <c r="I298" s="12"/>
      <c r="J298" s="12"/>
      <c r="K298" s="12"/>
      <c r="L298" s="158"/>
    </row>
    <row r="299" customFormat="false" ht="12.75" hidden="false" customHeight="false" outlineLevel="0" collapsed="false">
      <c r="C299" s="12"/>
      <c r="D299" s="12"/>
      <c r="E299" s="12"/>
      <c r="F299" s="12"/>
      <c r="G299" s="12"/>
      <c r="H299" s="12"/>
      <c r="I299" s="12"/>
      <c r="J299" s="12"/>
      <c r="K299" s="12"/>
      <c r="L299" s="158"/>
    </row>
    <row r="300" customFormat="false" ht="12.75" hidden="false" customHeight="false" outlineLevel="0" collapsed="false">
      <c r="C300" s="12"/>
      <c r="D300" s="12"/>
      <c r="E300" s="12"/>
      <c r="F300" s="12"/>
      <c r="G300" s="12"/>
      <c r="H300" s="12"/>
      <c r="I300" s="12"/>
      <c r="J300" s="12"/>
      <c r="K300" s="12"/>
      <c r="L300" s="158"/>
    </row>
    <row r="301" customFormat="false" ht="12.75" hidden="false" customHeight="false" outlineLevel="0" collapsed="false">
      <c r="C301" s="12"/>
      <c r="D301" s="12"/>
      <c r="E301" s="12"/>
      <c r="F301" s="12"/>
      <c r="G301" s="12"/>
      <c r="H301" s="12"/>
      <c r="I301" s="12"/>
      <c r="J301" s="12"/>
      <c r="K301" s="12"/>
      <c r="L301" s="158"/>
    </row>
    <row r="302" customFormat="false" ht="12.75" hidden="false" customHeight="false" outlineLevel="0" collapsed="false">
      <c r="C302" s="12"/>
      <c r="D302" s="12"/>
      <c r="E302" s="12"/>
      <c r="F302" s="12"/>
      <c r="G302" s="12"/>
      <c r="H302" s="12"/>
      <c r="I302" s="12"/>
      <c r="J302" s="12"/>
      <c r="K302" s="12"/>
      <c r="L302" s="158"/>
    </row>
    <row r="303" customFormat="false" ht="12.75" hidden="false" customHeight="false" outlineLevel="0" collapsed="false">
      <c r="C303" s="12"/>
      <c r="D303" s="12"/>
      <c r="E303" s="12"/>
      <c r="F303" s="12"/>
      <c r="G303" s="12"/>
      <c r="H303" s="12"/>
      <c r="I303" s="12"/>
      <c r="J303" s="12"/>
      <c r="K303" s="12"/>
      <c r="L303" s="158"/>
    </row>
    <row r="304" customFormat="false" ht="12.75" hidden="false" customHeight="false" outlineLevel="0" collapsed="false">
      <c r="C304" s="12"/>
      <c r="D304" s="12"/>
      <c r="E304" s="12"/>
      <c r="F304" s="12"/>
      <c r="G304" s="12"/>
      <c r="H304" s="12"/>
      <c r="I304" s="12"/>
      <c r="J304" s="12"/>
      <c r="K304" s="12"/>
      <c r="L304" s="158"/>
    </row>
    <row r="305" customFormat="false" ht="12.75" hidden="false" customHeight="false" outlineLevel="0" collapsed="false">
      <c r="C305" s="12"/>
      <c r="D305" s="12"/>
      <c r="E305" s="12"/>
      <c r="F305" s="12"/>
      <c r="G305" s="12"/>
      <c r="H305" s="12"/>
      <c r="I305" s="12"/>
      <c r="J305" s="12"/>
      <c r="K305" s="12"/>
      <c r="L305" s="158"/>
    </row>
    <row r="306" customFormat="false" ht="12.75" hidden="false" customHeight="false" outlineLevel="0" collapsed="false">
      <c r="C306" s="12"/>
      <c r="D306" s="12"/>
      <c r="E306" s="12"/>
      <c r="F306" s="12"/>
      <c r="G306" s="12"/>
      <c r="H306" s="12"/>
      <c r="I306" s="12"/>
      <c r="J306" s="12"/>
      <c r="K306" s="12"/>
      <c r="L306" s="158"/>
    </row>
    <row r="307" customFormat="false" ht="12.75" hidden="false" customHeight="false" outlineLevel="0" collapsed="false">
      <c r="C307" s="12"/>
      <c r="D307" s="12"/>
      <c r="E307" s="12"/>
      <c r="F307" s="12"/>
      <c r="G307" s="12"/>
      <c r="H307" s="12"/>
      <c r="I307" s="12"/>
      <c r="J307" s="12"/>
      <c r="K307" s="12"/>
      <c r="L307" s="158"/>
    </row>
    <row r="308" customFormat="false" ht="12.75" hidden="false" customHeight="false" outlineLevel="0" collapsed="false">
      <c r="C308" s="12"/>
      <c r="D308" s="12"/>
      <c r="E308" s="12"/>
      <c r="F308" s="12"/>
      <c r="G308" s="12"/>
      <c r="H308" s="12"/>
      <c r="I308" s="12"/>
      <c r="J308" s="12"/>
      <c r="K308" s="12"/>
      <c r="L308" s="158"/>
    </row>
    <row r="309" customFormat="false" ht="12.75" hidden="false" customHeight="false" outlineLevel="0" collapsed="false">
      <c r="C309" s="12"/>
      <c r="D309" s="12"/>
      <c r="E309" s="12"/>
      <c r="F309" s="12"/>
      <c r="G309" s="12"/>
      <c r="H309" s="12"/>
      <c r="I309" s="12"/>
      <c r="J309" s="12"/>
      <c r="K309" s="12"/>
      <c r="L309" s="158"/>
    </row>
    <row r="310" customFormat="false" ht="12.75" hidden="false" customHeight="false" outlineLevel="0" collapsed="false">
      <c r="C310" s="12"/>
      <c r="D310" s="12"/>
      <c r="E310" s="12"/>
      <c r="F310" s="12"/>
      <c r="G310" s="12"/>
      <c r="H310" s="12"/>
      <c r="I310" s="12"/>
      <c r="J310" s="12"/>
      <c r="K310" s="12"/>
      <c r="L310" s="158"/>
    </row>
    <row r="311" customFormat="false" ht="12.75" hidden="false" customHeight="false" outlineLevel="0" collapsed="false">
      <c r="C311" s="12"/>
      <c r="D311" s="12"/>
      <c r="E311" s="12"/>
      <c r="F311" s="12"/>
      <c r="G311" s="12"/>
      <c r="H311" s="12"/>
      <c r="I311" s="12"/>
      <c r="J311" s="12"/>
      <c r="K311" s="12"/>
      <c r="L311" s="158"/>
    </row>
    <row r="312" customFormat="false" ht="12.75" hidden="false" customHeight="false" outlineLevel="0" collapsed="false">
      <c r="C312" s="12"/>
      <c r="D312" s="12"/>
      <c r="E312" s="12"/>
      <c r="F312" s="12"/>
      <c r="G312" s="12"/>
      <c r="H312" s="12"/>
      <c r="I312" s="12"/>
      <c r="J312" s="12"/>
      <c r="K312" s="12"/>
      <c r="L312" s="158"/>
    </row>
    <row r="313" customFormat="false" ht="12.75" hidden="false" customHeight="false" outlineLevel="0" collapsed="false">
      <c r="C313" s="12"/>
      <c r="D313" s="12"/>
      <c r="E313" s="12"/>
      <c r="F313" s="12"/>
      <c r="G313" s="12"/>
      <c r="H313" s="12"/>
      <c r="I313" s="12"/>
      <c r="J313" s="12"/>
      <c r="K313" s="12"/>
      <c r="L313" s="158"/>
    </row>
    <row r="314" customFormat="false" ht="12.75" hidden="false" customHeight="false" outlineLevel="0" collapsed="false">
      <c r="C314" s="12"/>
      <c r="D314" s="12"/>
      <c r="E314" s="12"/>
      <c r="F314" s="12"/>
      <c r="G314" s="12"/>
      <c r="H314" s="12"/>
      <c r="I314" s="12"/>
      <c r="J314" s="12"/>
      <c r="K314" s="12"/>
      <c r="L314" s="158"/>
    </row>
    <row r="315" customFormat="false" ht="12.75" hidden="false" customHeight="false" outlineLevel="0" collapsed="false">
      <c r="C315" s="12"/>
      <c r="D315" s="12"/>
      <c r="E315" s="12"/>
      <c r="F315" s="12"/>
      <c r="G315" s="12"/>
      <c r="H315" s="12"/>
      <c r="I315" s="12"/>
      <c r="J315" s="12"/>
      <c r="K315" s="12"/>
      <c r="L315" s="158"/>
    </row>
    <row r="316" customFormat="false" ht="12.75" hidden="false" customHeight="false" outlineLevel="0" collapsed="false">
      <c r="C316" s="12"/>
      <c r="D316" s="12"/>
      <c r="E316" s="12"/>
      <c r="F316" s="12"/>
      <c r="G316" s="12"/>
      <c r="H316" s="12"/>
      <c r="I316" s="12"/>
      <c r="J316" s="12"/>
      <c r="K316" s="12"/>
      <c r="L316" s="158"/>
    </row>
    <row r="317" customFormat="false" ht="12.75" hidden="false" customHeight="false" outlineLevel="0" collapsed="false">
      <c r="C317" s="12"/>
      <c r="D317" s="12"/>
      <c r="E317" s="12"/>
      <c r="F317" s="12"/>
      <c r="G317" s="12"/>
      <c r="H317" s="12"/>
      <c r="I317" s="12"/>
      <c r="J317" s="12"/>
      <c r="K317" s="12"/>
      <c r="L317" s="158"/>
    </row>
    <row r="318" customFormat="false" ht="12.75" hidden="false" customHeight="false" outlineLevel="0" collapsed="false">
      <c r="C318" s="12"/>
      <c r="D318" s="12"/>
      <c r="E318" s="12"/>
      <c r="F318" s="12"/>
      <c r="G318" s="12"/>
      <c r="H318" s="12"/>
      <c r="I318" s="12"/>
      <c r="J318" s="12"/>
      <c r="K318" s="12"/>
      <c r="L318" s="158"/>
    </row>
    <row r="319" customFormat="false" ht="12.75" hidden="false" customHeight="false" outlineLevel="0" collapsed="false">
      <c r="C319" s="12"/>
      <c r="D319" s="12"/>
      <c r="E319" s="12"/>
      <c r="F319" s="12"/>
      <c r="G319" s="12"/>
      <c r="H319" s="12"/>
      <c r="I319" s="12"/>
      <c r="J319" s="12"/>
      <c r="K319" s="12"/>
      <c r="L319" s="158"/>
    </row>
    <row r="320" customFormat="false" ht="12.75" hidden="false" customHeight="false" outlineLevel="0" collapsed="false">
      <c r="C320" s="12"/>
      <c r="D320" s="12"/>
      <c r="E320" s="12"/>
      <c r="F320" s="12"/>
      <c r="G320" s="12"/>
      <c r="H320" s="12"/>
      <c r="I320" s="12"/>
      <c r="J320" s="12"/>
      <c r="K320" s="12"/>
      <c r="L320" s="158"/>
    </row>
    <row r="321" customFormat="false" ht="12.75" hidden="false" customHeight="false" outlineLevel="0" collapsed="false">
      <c r="C321" s="12"/>
      <c r="D321" s="12"/>
      <c r="E321" s="12"/>
      <c r="F321" s="12"/>
      <c r="G321" s="12"/>
      <c r="H321" s="12"/>
      <c r="I321" s="12"/>
      <c r="J321" s="12"/>
      <c r="K321" s="12"/>
      <c r="L321" s="158"/>
    </row>
    <row r="322" customFormat="false" ht="12.75" hidden="false" customHeight="false" outlineLevel="0" collapsed="false">
      <c r="C322" s="12"/>
      <c r="D322" s="12"/>
      <c r="E322" s="12"/>
      <c r="F322" s="12"/>
      <c r="G322" s="12"/>
      <c r="H322" s="12"/>
      <c r="I322" s="12"/>
      <c r="J322" s="12"/>
      <c r="K322" s="12"/>
      <c r="L322" s="158"/>
    </row>
    <row r="323" customFormat="false" ht="12.75" hidden="false" customHeight="false" outlineLevel="0" collapsed="false">
      <c r="C323" s="12"/>
      <c r="D323" s="12"/>
      <c r="E323" s="12"/>
      <c r="F323" s="12"/>
      <c r="G323" s="12"/>
      <c r="H323" s="12"/>
      <c r="I323" s="12"/>
      <c r="J323" s="12"/>
      <c r="K323" s="12"/>
      <c r="L323" s="158"/>
    </row>
    <row r="324" customFormat="false" ht="12.75" hidden="false" customHeight="false" outlineLevel="0" collapsed="false">
      <c r="C324" s="12"/>
      <c r="D324" s="12"/>
      <c r="E324" s="12"/>
      <c r="F324" s="12"/>
      <c r="G324" s="12"/>
      <c r="H324" s="12"/>
      <c r="I324" s="12"/>
      <c r="J324" s="12"/>
      <c r="K324" s="12"/>
      <c r="L324" s="158"/>
    </row>
    <row r="325" customFormat="false" ht="12.75" hidden="false" customHeight="false" outlineLevel="0" collapsed="false">
      <c r="C325" s="12"/>
      <c r="D325" s="12"/>
      <c r="E325" s="12"/>
      <c r="F325" s="12"/>
      <c r="G325" s="12"/>
      <c r="H325" s="12"/>
      <c r="I325" s="12"/>
      <c r="J325" s="12"/>
      <c r="K325" s="12"/>
      <c r="L325" s="158"/>
    </row>
    <row r="326" customFormat="false" ht="12.75" hidden="false" customHeight="false" outlineLevel="0" collapsed="false">
      <c r="C326" s="12"/>
      <c r="D326" s="12"/>
      <c r="E326" s="12"/>
      <c r="F326" s="12"/>
      <c r="G326" s="12"/>
      <c r="H326" s="12"/>
      <c r="I326" s="12"/>
      <c r="J326" s="12"/>
      <c r="K326" s="12"/>
      <c r="L326" s="158"/>
    </row>
    <row r="327" customFormat="false" ht="12.75" hidden="false" customHeight="false" outlineLevel="0" collapsed="false">
      <c r="C327" s="12"/>
      <c r="D327" s="12"/>
      <c r="E327" s="12"/>
      <c r="F327" s="12"/>
      <c r="G327" s="12"/>
      <c r="H327" s="12"/>
      <c r="I327" s="12"/>
      <c r="J327" s="12"/>
      <c r="K327" s="12"/>
      <c r="L327" s="158"/>
    </row>
    <row r="328" customFormat="false" ht="12.75" hidden="false" customHeight="false" outlineLevel="0" collapsed="false">
      <c r="C328" s="12"/>
      <c r="D328" s="12"/>
      <c r="E328" s="12"/>
      <c r="F328" s="12"/>
      <c r="G328" s="12"/>
      <c r="H328" s="12"/>
      <c r="I328" s="12"/>
      <c r="J328" s="12"/>
      <c r="K328" s="12"/>
      <c r="L328" s="158"/>
    </row>
    <row r="329" customFormat="false" ht="12.75" hidden="false" customHeight="false" outlineLevel="0" collapsed="false">
      <c r="C329" s="12"/>
      <c r="D329" s="12"/>
      <c r="E329" s="12"/>
      <c r="F329" s="12"/>
      <c r="G329" s="12"/>
      <c r="H329" s="12"/>
      <c r="I329" s="12"/>
      <c r="J329" s="12"/>
      <c r="K329" s="12"/>
      <c r="L329" s="158"/>
    </row>
    <row r="330" customFormat="false" ht="12.75" hidden="false" customHeight="false" outlineLevel="0" collapsed="false">
      <c r="C330" s="12"/>
      <c r="D330" s="12"/>
      <c r="E330" s="12"/>
      <c r="F330" s="12"/>
      <c r="G330" s="12"/>
      <c r="H330" s="12"/>
      <c r="I330" s="12"/>
      <c r="J330" s="12"/>
      <c r="K330" s="12"/>
      <c r="L330" s="158"/>
    </row>
    <row r="331" customFormat="false" ht="12.75" hidden="false" customHeight="false" outlineLevel="0" collapsed="false">
      <c r="C331" s="12"/>
      <c r="D331" s="12"/>
      <c r="E331" s="12"/>
      <c r="F331" s="12"/>
      <c r="G331" s="12"/>
      <c r="H331" s="12"/>
      <c r="I331" s="12"/>
      <c r="J331" s="12"/>
      <c r="K331" s="12"/>
      <c r="L331" s="158"/>
    </row>
    <row r="332" customFormat="false" ht="12.75" hidden="false" customHeight="false" outlineLevel="0" collapsed="false">
      <c r="C332" s="12"/>
      <c r="D332" s="12"/>
      <c r="E332" s="12"/>
      <c r="F332" s="12"/>
      <c r="G332" s="12"/>
      <c r="H332" s="12"/>
      <c r="I332" s="12"/>
      <c r="J332" s="12"/>
      <c r="K332" s="12"/>
      <c r="L332" s="158"/>
    </row>
    <row r="333" customFormat="false" ht="12.75" hidden="false" customHeight="false" outlineLevel="0" collapsed="false">
      <c r="C333" s="12"/>
      <c r="D333" s="12"/>
      <c r="E333" s="12"/>
      <c r="F333" s="12"/>
      <c r="G333" s="12"/>
      <c r="H333" s="12"/>
      <c r="I333" s="12"/>
      <c r="J333" s="12"/>
      <c r="K333" s="12"/>
      <c r="L333" s="158"/>
    </row>
    <row r="334" customFormat="false" ht="12.75" hidden="false" customHeight="false" outlineLevel="0" collapsed="false">
      <c r="C334" s="12"/>
      <c r="D334" s="12"/>
      <c r="E334" s="12"/>
      <c r="F334" s="12"/>
      <c r="G334" s="12"/>
      <c r="H334" s="12"/>
      <c r="I334" s="12"/>
      <c r="J334" s="12"/>
      <c r="K334" s="12"/>
      <c r="L334" s="158"/>
    </row>
    <row r="335" customFormat="false" ht="12.75" hidden="false" customHeight="false" outlineLevel="0" collapsed="false">
      <c r="C335" s="12"/>
      <c r="D335" s="12"/>
      <c r="E335" s="12"/>
      <c r="F335" s="12"/>
      <c r="G335" s="12"/>
      <c r="H335" s="12"/>
      <c r="I335" s="12"/>
      <c r="J335" s="12"/>
      <c r="K335" s="12"/>
      <c r="L335" s="158"/>
    </row>
    <row r="336" customFormat="false" ht="12.75" hidden="false" customHeight="false" outlineLevel="0" collapsed="false">
      <c r="C336" s="12"/>
      <c r="D336" s="12"/>
      <c r="E336" s="12"/>
      <c r="F336" s="12"/>
      <c r="G336" s="12"/>
      <c r="H336" s="12"/>
      <c r="I336" s="12"/>
      <c r="J336" s="12"/>
      <c r="K336" s="12"/>
      <c r="L336" s="158"/>
    </row>
    <row r="337" customFormat="false" ht="12.75" hidden="false" customHeight="false" outlineLevel="0" collapsed="false">
      <c r="C337" s="12"/>
      <c r="D337" s="12"/>
      <c r="E337" s="12"/>
      <c r="F337" s="12"/>
      <c r="G337" s="12"/>
      <c r="H337" s="12"/>
      <c r="I337" s="12"/>
      <c r="J337" s="12"/>
      <c r="K337" s="12"/>
      <c r="L337" s="158"/>
    </row>
    <row r="338" customFormat="false" ht="12.75" hidden="false" customHeight="false" outlineLevel="0" collapsed="false">
      <c r="C338" s="12"/>
      <c r="D338" s="12"/>
      <c r="E338" s="12"/>
      <c r="F338" s="12"/>
      <c r="G338" s="12"/>
      <c r="H338" s="12"/>
      <c r="I338" s="12"/>
      <c r="J338" s="12"/>
      <c r="K338" s="12"/>
      <c r="L338" s="158"/>
    </row>
    <row r="339" customFormat="false" ht="12.75" hidden="false" customHeight="false" outlineLevel="0" collapsed="false">
      <c r="C339" s="12"/>
      <c r="D339" s="12"/>
      <c r="E339" s="12"/>
      <c r="F339" s="12"/>
      <c r="G339" s="12"/>
      <c r="H339" s="12"/>
      <c r="I339" s="12"/>
      <c r="J339" s="12"/>
      <c r="K339" s="12"/>
      <c r="L339" s="158"/>
    </row>
    <row r="340" customFormat="false" ht="12.75" hidden="false" customHeight="false" outlineLevel="0" collapsed="false">
      <c r="C340" s="12"/>
      <c r="D340" s="12"/>
      <c r="E340" s="12"/>
      <c r="F340" s="12"/>
      <c r="G340" s="12"/>
      <c r="H340" s="12"/>
      <c r="I340" s="12"/>
      <c r="J340" s="12"/>
      <c r="K340" s="12"/>
      <c r="L340" s="158"/>
    </row>
    <row r="341" customFormat="false" ht="12.75" hidden="false" customHeight="false" outlineLevel="0" collapsed="false">
      <c r="C341" s="12"/>
      <c r="D341" s="12"/>
      <c r="E341" s="12"/>
      <c r="F341" s="12"/>
      <c r="G341" s="12"/>
      <c r="H341" s="12"/>
      <c r="I341" s="12"/>
      <c r="J341" s="12"/>
      <c r="K341" s="12"/>
      <c r="L341" s="158"/>
    </row>
    <row r="342" customFormat="false" ht="12.75" hidden="false" customHeight="false" outlineLevel="0" collapsed="false">
      <c r="C342" s="12"/>
      <c r="D342" s="12"/>
      <c r="E342" s="12"/>
      <c r="F342" s="12"/>
      <c r="G342" s="12"/>
      <c r="H342" s="12"/>
      <c r="I342" s="12"/>
      <c r="J342" s="12"/>
      <c r="K342" s="12"/>
      <c r="L342" s="158"/>
    </row>
    <row r="343" customFormat="false" ht="12.75" hidden="false" customHeight="false" outlineLevel="0" collapsed="false">
      <c r="C343" s="12"/>
      <c r="D343" s="12"/>
      <c r="E343" s="12"/>
      <c r="F343" s="12"/>
      <c r="G343" s="12"/>
      <c r="H343" s="12"/>
      <c r="I343" s="12"/>
      <c r="J343" s="12"/>
      <c r="K343" s="12"/>
      <c r="L343" s="158"/>
    </row>
    <row r="344" customFormat="false" ht="12.75" hidden="false" customHeight="false" outlineLevel="0" collapsed="false">
      <c r="C344" s="12"/>
      <c r="D344" s="12"/>
      <c r="E344" s="12"/>
      <c r="F344" s="12"/>
      <c r="G344" s="12"/>
      <c r="H344" s="12"/>
      <c r="I344" s="12"/>
      <c r="J344" s="12"/>
      <c r="K344" s="12"/>
      <c r="L344" s="158"/>
    </row>
    <row r="345" customFormat="false" ht="12.75" hidden="false" customHeight="false" outlineLevel="0" collapsed="false">
      <c r="C345" s="12"/>
      <c r="D345" s="12"/>
      <c r="E345" s="12"/>
      <c r="F345" s="12"/>
      <c r="G345" s="12"/>
      <c r="H345" s="12"/>
      <c r="I345" s="12"/>
      <c r="J345" s="12"/>
      <c r="K345" s="12"/>
      <c r="L345" s="158"/>
    </row>
    <row r="346" customFormat="false" ht="12.75" hidden="false" customHeight="false" outlineLevel="0" collapsed="false">
      <c r="C346" s="12"/>
      <c r="D346" s="12"/>
      <c r="E346" s="12"/>
      <c r="F346" s="12"/>
      <c r="G346" s="12"/>
      <c r="H346" s="12"/>
      <c r="I346" s="12"/>
      <c r="J346" s="12"/>
      <c r="K346" s="12"/>
      <c r="L346" s="158"/>
    </row>
    <row r="347" customFormat="false" ht="12.75" hidden="false" customHeight="false" outlineLevel="0" collapsed="false">
      <c r="C347" s="12"/>
      <c r="D347" s="12"/>
      <c r="E347" s="12"/>
      <c r="F347" s="12"/>
      <c r="G347" s="12"/>
      <c r="H347" s="12"/>
      <c r="I347" s="12"/>
      <c r="J347" s="12"/>
      <c r="K347" s="12"/>
      <c r="L347" s="158"/>
    </row>
    <row r="348" customFormat="false" ht="12.75" hidden="false" customHeight="false" outlineLevel="0" collapsed="false">
      <c r="C348" s="12"/>
      <c r="D348" s="12"/>
      <c r="E348" s="12"/>
      <c r="F348" s="12"/>
      <c r="G348" s="12"/>
      <c r="H348" s="12"/>
      <c r="I348" s="12"/>
      <c r="J348" s="12"/>
      <c r="K348" s="12"/>
      <c r="L348" s="158"/>
    </row>
    <row r="349" customFormat="false" ht="12.75" hidden="false" customHeight="false" outlineLevel="0" collapsed="false">
      <c r="C349" s="12"/>
      <c r="D349" s="12"/>
      <c r="E349" s="12"/>
      <c r="F349" s="12"/>
      <c r="G349" s="12"/>
      <c r="H349" s="12"/>
      <c r="I349" s="12"/>
      <c r="J349" s="12"/>
      <c r="K349" s="12"/>
      <c r="L349" s="158"/>
    </row>
    <row r="350" customFormat="false" ht="12.75" hidden="false" customHeight="false" outlineLevel="0" collapsed="false">
      <c r="C350" s="12"/>
      <c r="D350" s="12"/>
      <c r="E350" s="12"/>
      <c r="F350" s="12"/>
      <c r="G350" s="12"/>
      <c r="H350" s="12"/>
      <c r="I350" s="12"/>
      <c r="J350" s="12"/>
      <c r="K350" s="12"/>
      <c r="L350" s="158"/>
    </row>
    <row r="351" customFormat="false" ht="12.75" hidden="false" customHeight="false" outlineLevel="0" collapsed="false">
      <c r="C351" s="12"/>
      <c r="D351" s="12"/>
      <c r="E351" s="12"/>
      <c r="F351" s="12"/>
      <c r="G351" s="12"/>
      <c r="H351" s="12"/>
      <c r="I351" s="12"/>
      <c r="J351" s="12"/>
      <c r="K351" s="12"/>
      <c r="L351" s="158"/>
    </row>
    <row r="352" customFormat="false" ht="12.75" hidden="false" customHeight="false" outlineLevel="0" collapsed="false">
      <c r="C352" s="12"/>
      <c r="D352" s="12"/>
      <c r="E352" s="12"/>
      <c r="F352" s="12"/>
      <c r="G352" s="12"/>
      <c r="H352" s="12"/>
      <c r="I352" s="12"/>
      <c r="J352" s="12"/>
      <c r="K352" s="12"/>
      <c r="L352" s="158"/>
    </row>
    <row r="353" customFormat="false" ht="12.75" hidden="false" customHeight="false" outlineLevel="0" collapsed="false">
      <c r="C353" s="12"/>
      <c r="D353" s="12"/>
      <c r="E353" s="12"/>
      <c r="F353" s="12"/>
      <c r="G353" s="12"/>
      <c r="H353" s="12"/>
      <c r="I353" s="12"/>
      <c r="J353" s="12"/>
      <c r="K353" s="12"/>
      <c r="L353" s="158"/>
    </row>
    <row r="354" customFormat="false" ht="12.75" hidden="false" customHeight="false" outlineLevel="0" collapsed="false">
      <c r="C354" s="12"/>
      <c r="D354" s="12"/>
      <c r="E354" s="12"/>
      <c r="F354" s="12"/>
      <c r="G354" s="12"/>
      <c r="H354" s="12"/>
      <c r="I354" s="12"/>
      <c r="J354" s="12"/>
      <c r="K354" s="12"/>
      <c r="L354" s="158"/>
    </row>
    <row r="355" customFormat="false" ht="12.75" hidden="false" customHeight="false" outlineLevel="0" collapsed="false">
      <c r="C355" s="12"/>
      <c r="D355" s="12"/>
      <c r="E355" s="12"/>
      <c r="F355" s="12"/>
      <c r="G355" s="12"/>
      <c r="H355" s="12"/>
      <c r="I355" s="12"/>
      <c r="J355" s="12"/>
      <c r="K355" s="12"/>
      <c r="L355" s="158"/>
    </row>
    <row r="356" customFormat="false" ht="12.75" hidden="false" customHeight="false" outlineLevel="0" collapsed="false">
      <c r="C356" s="12"/>
      <c r="D356" s="12"/>
      <c r="E356" s="12"/>
      <c r="F356" s="12"/>
      <c r="G356" s="12"/>
      <c r="H356" s="12"/>
      <c r="I356" s="12"/>
      <c r="J356" s="12"/>
      <c r="K356" s="12"/>
      <c r="L356" s="158"/>
    </row>
    <row r="357" customFormat="false" ht="12.75" hidden="false" customHeight="false" outlineLevel="0" collapsed="false">
      <c r="C357" s="12"/>
      <c r="D357" s="12"/>
      <c r="E357" s="12"/>
      <c r="F357" s="12"/>
      <c r="G357" s="12"/>
      <c r="H357" s="12"/>
      <c r="I357" s="12"/>
      <c r="J357" s="12"/>
      <c r="K357" s="12"/>
      <c r="L357" s="158"/>
    </row>
    <row r="358" customFormat="false" ht="12.75" hidden="false" customHeight="false" outlineLevel="0" collapsed="false">
      <c r="C358" s="12"/>
      <c r="D358" s="12"/>
      <c r="E358" s="12"/>
      <c r="F358" s="12"/>
      <c r="G358" s="12"/>
      <c r="H358" s="12"/>
      <c r="I358" s="12"/>
      <c r="J358" s="12"/>
      <c r="K358" s="12"/>
      <c r="L358" s="158"/>
    </row>
    <row r="359" customFormat="false" ht="12.75" hidden="false" customHeight="false" outlineLevel="0" collapsed="false">
      <c r="C359" s="12"/>
      <c r="D359" s="12"/>
      <c r="E359" s="12"/>
      <c r="F359" s="12"/>
      <c r="G359" s="12"/>
      <c r="H359" s="12"/>
      <c r="I359" s="12"/>
      <c r="J359" s="12"/>
      <c r="K359" s="12"/>
      <c r="L359" s="158"/>
    </row>
    <row r="360" customFormat="false" ht="12.75" hidden="false" customHeight="false" outlineLevel="0" collapsed="false">
      <c r="C360" s="12"/>
      <c r="D360" s="12"/>
      <c r="E360" s="12"/>
      <c r="F360" s="12"/>
      <c r="G360" s="12"/>
      <c r="H360" s="12"/>
      <c r="I360" s="12"/>
      <c r="J360" s="12"/>
      <c r="K360" s="12"/>
      <c r="L360" s="158"/>
    </row>
    <row r="361" customFormat="false" ht="12.75" hidden="false" customHeight="false" outlineLevel="0" collapsed="false">
      <c r="C361" s="12"/>
      <c r="D361" s="12"/>
      <c r="E361" s="12"/>
      <c r="F361" s="12"/>
      <c r="G361" s="12"/>
      <c r="H361" s="12"/>
      <c r="I361" s="12"/>
      <c r="J361" s="12"/>
      <c r="K361" s="12"/>
      <c r="L361" s="158"/>
    </row>
    <row r="362" customFormat="false" ht="12.75" hidden="false" customHeight="false" outlineLevel="0" collapsed="false">
      <c r="C362" s="12"/>
      <c r="D362" s="12"/>
      <c r="E362" s="12"/>
      <c r="F362" s="12"/>
      <c r="G362" s="12"/>
      <c r="H362" s="12"/>
      <c r="I362" s="12"/>
      <c r="J362" s="12"/>
      <c r="K362" s="12"/>
      <c r="L362" s="158"/>
    </row>
    <row r="363" customFormat="false" ht="12.75" hidden="false" customHeight="false" outlineLevel="0" collapsed="false">
      <c r="C363" s="12"/>
      <c r="D363" s="12"/>
      <c r="E363" s="12"/>
      <c r="F363" s="12"/>
      <c r="G363" s="12"/>
      <c r="H363" s="12"/>
      <c r="I363" s="12"/>
      <c r="J363" s="12"/>
      <c r="K363" s="12"/>
      <c r="L363" s="158"/>
    </row>
    <row r="364" customFormat="false" ht="12.75" hidden="false" customHeight="false" outlineLevel="0" collapsed="false">
      <c r="C364" s="12"/>
      <c r="D364" s="12"/>
      <c r="E364" s="12"/>
      <c r="F364" s="12"/>
      <c r="G364" s="12"/>
      <c r="H364" s="12"/>
      <c r="I364" s="12"/>
      <c r="J364" s="12"/>
      <c r="K364" s="12"/>
      <c r="L364" s="158"/>
    </row>
    <row r="365" customFormat="false" ht="12.75" hidden="false" customHeight="false" outlineLevel="0" collapsed="false">
      <c r="C365" s="12"/>
      <c r="D365" s="12"/>
      <c r="E365" s="12"/>
      <c r="F365" s="12"/>
      <c r="G365" s="12"/>
      <c r="H365" s="12"/>
      <c r="I365" s="12"/>
      <c r="J365" s="12"/>
      <c r="K365" s="12"/>
      <c r="L365" s="158"/>
    </row>
    <row r="366" customFormat="false" ht="12.75" hidden="false" customHeight="false" outlineLevel="0" collapsed="false">
      <c r="C366" s="12"/>
      <c r="D366" s="12"/>
      <c r="E366" s="12"/>
      <c r="F366" s="12"/>
      <c r="G366" s="12"/>
      <c r="H366" s="12"/>
      <c r="I366" s="12"/>
      <c r="J366" s="12"/>
      <c r="K366" s="12"/>
      <c r="L366" s="158"/>
    </row>
    <row r="367" customFormat="false" ht="12.75" hidden="false" customHeight="false" outlineLevel="0" collapsed="false">
      <c r="C367" s="12"/>
      <c r="D367" s="12"/>
      <c r="E367" s="12"/>
      <c r="F367" s="12"/>
      <c r="G367" s="12"/>
      <c r="H367" s="12"/>
      <c r="I367" s="12"/>
      <c r="J367" s="12"/>
      <c r="K367" s="12"/>
      <c r="L367" s="158"/>
    </row>
    <row r="368" customFormat="false" ht="12.75" hidden="false" customHeight="false" outlineLevel="0" collapsed="false">
      <c r="C368" s="12"/>
      <c r="D368" s="12"/>
      <c r="E368" s="12"/>
      <c r="F368" s="12"/>
      <c r="G368" s="12"/>
      <c r="H368" s="12"/>
      <c r="I368" s="12"/>
      <c r="J368" s="12"/>
      <c r="K368" s="12"/>
      <c r="L368" s="158"/>
    </row>
    <row r="369" customFormat="false" ht="12.75" hidden="false" customHeight="false" outlineLevel="0" collapsed="false">
      <c r="C369" s="12"/>
      <c r="D369" s="12"/>
      <c r="E369" s="12"/>
      <c r="F369" s="12"/>
      <c r="G369" s="12"/>
      <c r="H369" s="12"/>
      <c r="I369" s="12"/>
      <c r="J369" s="12"/>
      <c r="K369" s="12"/>
      <c r="L369" s="158"/>
    </row>
    <row r="370" customFormat="false" ht="12.75" hidden="false" customHeight="false" outlineLevel="0" collapsed="false">
      <c r="C370" s="12"/>
      <c r="D370" s="12"/>
      <c r="E370" s="12"/>
      <c r="F370" s="12"/>
      <c r="G370" s="12"/>
      <c r="H370" s="12"/>
      <c r="I370" s="12"/>
      <c r="J370" s="12"/>
      <c r="K370" s="12"/>
      <c r="L370" s="158"/>
    </row>
    <row r="371" customFormat="false" ht="12.75" hidden="false" customHeight="false" outlineLevel="0" collapsed="false">
      <c r="C371" s="12"/>
      <c r="D371" s="12"/>
      <c r="E371" s="12"/>
      <c r="F371" s="12"/>
      <c r="G371" s="12"/>
      <c r="H371" s="12"/>
      <c r="I371" s="12"/>
      <c r="J371" s="12"/>
      <c r="K371" s="12"/>
      <c r="L371" s="158"/>
    </row>
    <row r="372" customFormat="false" ht="12.75" hidden="false" customHeight="false" outlineLevel="0" collapsed="false">
      <c r="C372" s="12"/>
      <c r="D372" s="12"/>
      <c r="E372" s="12"/>
      <c r="F372" s="12"/>
      <c r="G372" s="12"/>
      <c r="H372" s="12"/>
      <c r="I372" s="12"/>
      <c r="J372" s="12"/>
      <c r="K372" s="12"/>
      <c r="L372" s="158"/>
    </row>
    <row r="373" customFormat="false" ht="12.75" hidden="false" customHeight="false" outlineLevel="0" collapsed="false">
      <c r="C373" s="12"/>
      <c r="D373" s="12"/>
      <c r="E373" s="12"/>
      <c r="F373" s="12"/>
      <c r="G373" s="12"/>
      <c r="H373" s="12"/>
      <c r="I373" s="12"/>
      <c r="J373" s="12"/>
      <c r="K373" s="12"/>
      <c r="L373" s="158"/>
    </row>
    <row r="374" customFormat="false" ht="12.75" hidden="false" customHeight="false" outlineLevel="0" collapsed="false">
      <c r="C374" s="12"/>
      <c r="D374" s="12"/>
      <c r="E374" s="12"/>
      <c r="F374" s="12"/>
      <c r="G374" s="12"/>
      <c r="H374" s="12"/>
      <c r="I374" s="12"/>
      <c r="J374" s="12"/>
      <c r="K374" s="12"/>
      <c r="L374" s="158"/>
    </row>
    <row r="375" customFormat="false" ht="12.75" hidden="false" customHeight="false" outlineLevel="0" collapsed="false">
      <c r="C375" s="12"/>
      <c r="D375" s="12"/>
      <c r="E375" s="12"/>
      <c r="F375" s="12"/>
      <c r="G375" s="12"/>
      <c r="H375" s="12"/>
      <c r="I375" s="12"/>
      <c r="J375" s="12"/>
      <c r="K375" s="12"/>
      <c r="L375" s="158"/>
    </row>
    <row r="376" customFormat="false" ht="12.75" hidden="false" customHeight="false" outlineLevel="0" collapsed="false">
      <c r="C376" s="12"/>
      <c r="D376" s="12"/>
      <c r="E376" s="12"/>
      <c r="F376" s="12"/>
      <c r="G376" s="12"/>
      <c r="H376" s="12"/>
      <c r="I376" s="12"/>
      <c r="J376" s="12"/>
      <c r="K376" s="12"/>
      <c r="L376" s="158"/>
    </row>
    <row r="377" customFormat="false" ht="12.75" hidden="false" customHeight="false" outlineLevel="0" collapsed="false">
      <c r="C377" s="12"/>
      <c r="D377" s="12"/>
      <c r="E377" s="12"/>
      <c r="F377" s="12"/>
      <c r="G377" s="12"/>
      <c r="H377" s="12"/>
      <c r="I377" s="12"/>
      <c r="J377" s="12"/>
      <c r="K377" s="12"/>
      <c r="L377" s="158"/>
    </row>
    <row r="378" customFormat="false" ht="12.75" hidden="false" customHeight="false" outlineLevel="0" collapsed="false">
      <c r="C378" s="12"/>
      <c r="D378" s="12"/>
      <c r="E378" s="12"/>
      <c r="F378" s="12"/>
      <c r="G378" s="12"/>
      <c r="H378" s="12"/>
      <c r="I378" s="12"/>
      <c r="J378" s="12"/>
      <c r="K378" s="12"/>
      <c r="L378" s="158"/>
    </row>
    <row r="379" customFormat="false" ht="12.75" hidden="false" customHeight="false" outlineLevel="0" collapsed="false">
      <c r="C379" s="12"/>
      <c r="D379" s="12"/>
      <c r="E379" s="12"/>
      <c r="F379" s="12"/>
      <c r="G379" s="12"/>
      <c r="H379" s="12"/>
      <c r="I379" s="12"/>
      <c r="J379" s="12"/>
      <c r="K379" s="12"/>
      <c r="L379" s="158"/>
    </row>
    <row r="380" customFormat="false" ht="12.75" hidden="false" customHeight="false" outlineLevel="0" collapsed="false">
      <c r="C380" s="12"/>
      <c r="D380" s="12"/>
      <c r="E380" s="12"/>
      <c r="F380" s="12"/>
      <c r="G380" s="12"/>
      <c r="H380" s="12"/>
      <c r="I380" s="12"/>
      <c r="J380" s="12"/>
      <c r="K380" s="12"/>
      <c r="L380" s="158"/>
    </row>
    <row r="381" customFormat="false" ht="12.75" hidden="false" customHeight="false" outlineLevel="0" collapsed="false">
      <c r="C381" s="12"/>
      <c r="D381" s="12"/>
      <c r="E381" s="12"/>
      <c r="F381" s="12"/>
      <c r="G381" s="12"/>
      <c r="H381" s="12"/>
      <c r="I381" s="12"/>
      <c r="J381" s="12"/>
      <c r="K381" s="12"/>
      <c r="L381" s="158"/>
    </row>
    <row r="382" customFormat="false" ht="12.75" hidden="false" customHeight="false" outlineLevel="0" collapsed="false">
      <c r="C382" s="12"/>
      <c r="D382" s="12"/>
      <c r="E382" s="12"/>
      <c r="F382" s="12"/>
      <c r="G382" s="12"/>
      <c r="H382" s="12"/>
      <c r="I382" s="12"/>
      <c r="J382" s="12"/>
      <c r="K382" s="12"/>
      <c r="L382" s="158"/>
    </row>
    <row r="383" customFormat="false" ht="12.75" hidden="false" customHeight="false" outlineLevel="0" collapsed="false">
      <c r="C383" s="12"/>
      <c r="D383" s="12"/>
      <c r="E383" s="12"/>
      <c r="F383" s="12"/>
      <c r="G383" s="12"/>
      <c r="H383" s="12"/>
      <c r="I383" s="12"/>
      <c r="J383" s="12"/>
      <c r="K383" s="12"/>
      <c r="L383" s="158"/>
    </row>
    <row r="384" customFormat="false" ht="12.75" hidden="false" customHeight="false" outlineLevel="0" collapsed="false">
      <c r="C384" s="12"/>
      <c r="D384" s="12"/>
      <c r="E384" s="12"/>
      <c r="F384" s="12"/>
      <c r="G384" s="12"/>
      <c r="H384" s="12"/>
      <c r="I384" s="12"/>
      <c r="J384" s="12"/>
      <c r="K384" s="12"/>
      <c r="L384" s="158"/>
    </row>
    <row r="385" customFormat="false" ht="12.75" hidden="false" customHeight="false" outlineLevel="0" collapsed="false">
      <c r="C385" s="12"/>
      <c r="D385" s="12"/>
      <c r="E385" s="12"/>
      <c r="F385" s="12"/>
      <c r="G385" s="12"/>
      <c r="H385" s="12"/>
      <c r="I385" s="12"/>
      <c r="J385" s="12"/>
      <c r="K385" s="12"/>
      <c r="L385" s="158"/>
    </row>
    <row r="386" customFormat="false" ht="12.75" hidden="false" customHeight="false" outlineLevel="0" collapsed="false">
      <c r="C386" s="12"/>
      <c r="D386" s="12"/>
      <c r="E386" s="12"/>
      <c r="F386" s="12"/>
      <c r="G386" s="12"/>
      <c r="H386" s="12"/>
      <c r="I386" s="12"/>
      <c r="J386" s="12"/>
      <c r="K386" s="12"/>
      <c r="L386" s="158"/>
    </row>
  </sheetData>
  <mergeCells count="3">
    <mergeCell ref="D1:E1"/>
    <mergeCell ref="F1:G1"/>
    <mergeCell ref="H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9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7.85"/>
    <col collapsed="false" customWidth="true" hidden="false" outlineLevel="0" max="3" min="3" style="0" width="13.56"/>
    <col collapsed="false" customWidth="true" hidden="false" outlineLevel="0" max="4" min="4" style="0" width="20.41"/>
    <col collapsed="false" customWidth="true" hidden="false" outlineLevel="0" max="5" min="5" style="0" width="7.56"/>
    <col collapsed="false" customWidth="true" hidden="false" outlineLevel="0" max="7" min="6" style="0" width="9.7"/>
    <col collapsed="false" customWidth="true" hidden="false" outlineLevel="0" max="8" min="8" style="0" width="12.14"/>
    <col collapsed="false" customWidth="true" hidden="false" outlineLevel="0" max="9" min="9" style="0" width="7.42"/>
    <col collapsed="false" customWidth="true" hidden="false" outlineLevel="0" max="10" min="10" style="0" width="10.41"/>
    <col collapsed="false" customWidth="true" hidden="false" outlineLevel="0" max="11" min="11" style="0" width="10.56"/>
    <col collapsed="false" customWidth="true" hidden="false" outlineLevel="0" max="12" min="12" style="0" width="8.7"/>
    <col collapsed="false" customWidth="true" hidden="false" outlineLevel="0" max="13" min="13" style="0" width="7.42"/>
    <col collapsed="false" customWidth="true" hidden="false" outlineLevel="0" max="14" min="14" style="0" width="10.99"/>
    <col collapsed="false" customWidth="true" hidden="false" outlineLevel="0" max="15" min="15" style="0" width="13.99"/>
  </cols>
  <sheetData>
    <row r="1" customFormat="false" ht="12.75" hidden="false" customHeight="false" outlineLevel="0" collapsed="false">
      <c r="A1" s="40" t="s">
        <v>70</v>
      </c>
    </row>
    <row r="2" customFormat="false" ht="38.25" hidden="false" customHeight="false" outlineLevel="0" collapsed="false">
      <c r="A2" s="41" t="s">
        <v>71</v>
      </c>
      <c r="B2" s="42" t="s">
        <v>72</v>
      </c>
    </row>
    <row r="3" customFormat="false" ht="12.75" hidden="false" customHeight="false" outlineLevel="0" collapsed="false">
      <c r="B3" s="83" t="s">
        <v>93</v>
      </c>
      <c r="C3" s="84" t="s">
        <v>172</v>
      </c>
      <c r="H3" s="43"/>
    </row>
    <row r="4" customFormat="false" ht="12.75" hidden="false" customHeight="false" outlineLevel="0" collapsed="false">
      <c r="B4" s="146" t="n">
        <v>36251</v>
      </c>
      <c r="H4" s="43"/>
    </row>
    <row r="5" customFormat="false" ht="12.75" hidden="false" customHeight="false" outlineLevel="0" collapsed="false">
      <c r="B5" s="146" t="n">
        <v>36281</v>
      </c>
      <c r="H5" s="43"/>
    </row>
    <row r="6" customFormat="false" ht="12.75" hidden="false" customHeight="false" outlineLevel="0" collapsed="false">
      <c r="B6" s="146" t="n">
        <v>36312</v>
      </c>
      <c r="H6" s="43"/>
    </row>
    <row r="7" customFormat="false" ht="12.75" hidden="false" customHeight="false" outlineLevel="0" collapsed="false">
      <c r="B7" s="146" t="n">
        <v>36342</v>
      </c>
      <c r="H7" s="43"/>
    </row>
    <row r="8" customFormat="false" ht="12.75" hidden="false" customHeight="false" outlineLevel="0" collapsed="false">
      <c r="B8" s="146" t="n">
        <v>36373</v>
      </c>
      <c r="H8" s="43"/>
    </row>
    <row r="9" customFormat="false" ht="12.75" hidden="false" customHeight="false" outlineLevel="0" collapsed="false">
      <c r="B9" s="146" t="n">
        <v>36404</v>
      </c>
      <c r="H9" s="43"/>
    </row>
    <row r="10" customFormat="false" ht="12.75" hidden="false" customHeight="false" outlineLevel="0" collapsed="false">
      <c r="B10" s="146" t="n">
        <v>36434</v>
      </c>
      <c r="H10" s="43"/>
    </row>
    <row r="11" customFormat="false" ht="12.75" hidden="false" customHeight="false" outlineLevel="0" collapsed="false">
      <c r="B11" s="146" t="n">
        <v>36465</v>
      </c>
      <c r="C11" s="0" t="n">
        <v>0.0401</v>
      </c>
      <c r="H11" s="43"/>
    </row>
    <row r="12" customFormat="false" ht="12.75" hidden="false" customHeight="false" outlineLevel="0" collapsed="false">
      <c r="B12" s="146" t="n">
        <v>36495</v>
      </c>
      <c r="C12" s="0" t="n">
        <v>0.0357</v>
      </c>
      <c r="H12" s="43"/>
    </row>
    <row r="13" customFormat="false" ht="12.75" hidden="false" customHeight="false" outlineLevel="0" collapsed="false">
      <c r="B13" s="146" t="n">
        <v>36526</v>
      </c>
      <c r="C13" s="0" t="n">
        <v>0.0279</v>
      </c>
      <c r="H13" s="43"/>
    </row>
    <row r="14" customFormat="false" ht="12.75" hidden="false" customHeight="false" outlineLevel="0" collapsed="false">
      <c r="B14" s="146" t="n">
        <v>36557</v>
      </c>
      <c r="C14" s="0" t="n">
        <v>0.0277</v>
      </c>
      <c r="H14" s="43"/>
    </row>
    <row r="15" customFormat="false" ht="12.75" hidden="false" customHeight="false" outlineLevel="0" collapsed="false">
      <c r="B15" s="146" t="n">
        <v>36586</v>
      </c>
      <c r="C15" s="0" t="n">
        <v>0.0281</v>
      </c>
      <c r="H15" s="43"/>
    </row>
    <row r="16" customFormat="false" ht="12.75" hidden="false" customHeight="false" outlineLevel="0" collapsed="false">
      <c r="B16" s="146" t="n">
        <v>36617</v>
      </c>
      <c r="H16" s="43"/>
    </row>
    <row r="17" customFormat="false" ht="12.75" hidden="false" customHeight="false" outlineLevel="0" collapsed="false">
      <c r="B17" s="146" t="n">
        <v>36647</v>
      </c>
      <c r="H17" s="43"/>
    </row>
    <row r="18" customFormat="false" ht="12.75" hidden="false" customHeight="false" outlineLevel="0" collapsed="false">
      <c r="B18" s="146" t="n">
        <v>36678</v>
      </c>
      <c r="H18" s="43"/>
    </row>
    <row r="19" customFormat="false" ht="12.75" hidden="false" customHeight="false" outlineLevel="0" collapsed="false">
      <c r="B19" s="146" t="n">
        <v>36708</v>
      </c>
      <c r="H19" s="43"/>
    </row>
    <row r="20" customFormat="false" ht="12.75" hidden="false" customHeight="false" outlineLevel="0" collapsed="false">
      <c r="B20" s="146" t="n">
        <v>36739</v>
      </c>
      <c r="H20" s="43"/>
    </row>
    <row r="21" customFormat="false" ht="12.75" hidden="false" customHeight="false" outlineLevel="0" collapsed="false">
      <c r="B21" s="146" t="n">
        <v>36770</v>
      </c>
      <c r="H21" s="43"/>
    </row>
    <row r="22" customFormat="false" ht="12.75" hidden="false" customHeight="false" outlineLevel="0" collapsed="false">
      <c r="B22" s="146" t="n">
        <v>36800</v>
      </c>
      <c r="H22" s="43"/>
    </row>
    <row r="23" customFormat="false" ht="12.75" hidden="false" customHeight="false" outlineLevel="0" collapsed="false">
      <c r="B23" s="146" t="n">
        <v>36831</v>
      </c>
      <c r="C23" s="0" t="n">
        <v>0.04</v>
      </c>
      <c r="H23" s="43"/>
    </row>
    <row r="24" customFormat="false" ht="12.75" hidden="false" customHeight="false" outlineLevel="0" collapsed="false">
      <c r="B24" s="146" t="n">
        <v>36861</v>
      </c>
      <c r="C24" s="0" t="n">
        <v>0.0356</v>
      </c>
      <c r="H24" s="43"/>
    </row>
    <row r="25" customFormat="false" ht="12.75" hidden="false" customHeight="false" outlineLevel="0" collapsed="false">
      <c r="B25" s="146" t="n">
        <v>36892</v>
      </c>
      <c r="C25" s="0" t="n">
        <v>0.0279</v>
      </c>
      <c r="H25" s="43"/>
    </row>
    <row r="26" customFormat="false" ht="12.75" hidden="false" customHeight="false" outlineLevel="0" collapsed="false">
      <c r="B26" s="146" t="n">
        <v>36923</v>
      </c>
      <c r="C26" s="0" t="n">
        <v>0.0276</v>
      </c>
      <c r="H26" s="43"/>
    </row>
    <row r="27" customFormat="false" ht="12.75" hidden="false" customHeight="false" outlineLevel="0" collapsed="false">
      <c r="B27" s="146" t="n">
        <v>36951</v>
      </c>
      <c r="C27" s="0" t="n">
        <v>0.028</v>
      </c>
      <c r="H27" s="43"/>
    </row>
    <row r="28" customFormat="false" ht="12.75" hidden="false" customHeight="false" outlineLevel="0" collapsed="false">
      <c r="B28" s="146" t="n">
        <v>36982</v>
      </c>
      <c r="H28" s="43"/>
    </row>
    <row r="29" customFormat="false" ht="12.75" hidden="false" customHeight="false" outlineLevel="0" collapsed="false">
      <c r="B29" s="146" t="n">
        <v>37012</v>
      </c>
      <c r="H29" s="43"/>
    </row>
    <row r="30" customFormat="false" ht="12.75" hidden="false" customHeight="false" outlineLevel="0" collapsed="false">
      <c r="B30" s="146" t="n">
        <v>37043</v>
      </c>
      <c r="H30" s="43"/>
    </row>
    <row r="31" customFormat="false" ht="12.75" hidden="false" customHeight="false" outlineLevel="0" collapsed="false">
      <c r="B31" s="146" t="n">
        <v>37073</v>
      </c>
      <c r="H31" s="43"/>
    </row>
    <row r="32" customFormat="false" ht="12.75" hidden="false" customHeight="false" outlineLevel="0" collapsed="false">
      <c r="B32" s="146" t="n">
        <v>37104</v>
      </c>
      <c r="H32" s="43"/>
    </row>
    <row r="33" customFormat="false" ht="12.75" hidden="false" customHeight="false" outlineLevel="0" collapsed="false">
      <c r="B33" s="146" t="n">
        <v>37135</v>
      </c>
      <c r="H33" s="43"/>
    </row>
    <row r="34" customFormat="false" ht="12.75" hidden="false" customHeight="false" outlineLevel="0" collapsed="false">
      <c r="B34" s="146" t="n">
        <v>37165</v>
      </c>
      <c r="H34" s="43"/>
    </row>
    <row r="35" customFormat="false" ht="12.75" hidden="false" customHeight="false" outlineLevel="0" collapsed="false">
      <c r="B35" s="146" t="n">
        <v>37196</v>
      </c>
      <c r="C35" s="0" t="n">
        <v>0.0399</v>
      </c>
      <c r="H35" s="43"/>
    </row>
    <row r="36" customFormat="false" ht="12.75" hidden="false" customHeight="false" outlineLevel="0" collapsed="false">
      <c r="B36" s="146" t="n">
        <v>37226</v>
      </c>
      <c r="C36" s="0" t="n">
        <v>0.0356</v>
      </c>
      <c r="H36" s="43"/>
    </row>
    <row r="37" customFormat="false" ht="12.75" hidden="false" customHeight="false" outlineLevel="0" collapsed="false">
      <c r="B37" s="146" t="n">
        <v>37257</v>
      </c>
      <c r="C37" s="0" t="n">
        <v>0.0279</v>
      </c>
      <c r="H37" s="43"/>
    </row>
    <row r="38" customFormat="false" ht="12.75" hidden="false" customHeight="false" outlineLevel="0" collapsed="false">
      <c r="B38" s="146" t="n">
        <v>37288</v>
      </c>
      <c r="C38" s="0" t="n">
        <v>0.0276</v>
      </c>
      <c r="H38" s="43"/>
    </row>
    <row r="39" customFormat="false" ht="12.75" hidden="false" customHeight="false" outlineLevel="0" collapsed="false">
      <c r="B39" s="146" t="n">
        <v>37316</v>
      </c>
      <c r="C39" s="0" t="n">
        <v>0.028</v>
      </c>
      <c r="H39" s="43"/>
    </row>
    <row r="40" customFormat="false" ht="12.75" hidden="false" customHeight="false" outlineLevel="0" collapsed="false">
      <c r="B40" s="146" t="n">
        <v>37347</v>
      </c>
      <c r="H40" s="43"/>
    </row>
    <row r="41" customFormat="false" ht="12.75" hidden="false" customHeight="false" outlineLevel="0" collapsed="false">
      <c r="B41" s="146" t="n">
        <v>37377</v>
      </c>
      <c r="H41" s="43"/>
    </row>
    <row r="42" customFormat="false" ht="12.75" hidden="false" customHeight="false" outlineLevel="0" collapsed="false">
      <c r="B42" s="146" t="n">
        <v>37408</v>
      </c>
      <c r="H42" s="43"/>
    </row>
    <row r="43" customFormat="false" ht="12.75" hidden="false" customHeight="false" outlineLevel="0" collapsed="false">
      <c r="B43" s="146" t="n">
        <v>37438</v>
      </c>
      <c r="H43" s="43"/>
    </row>
    <row r="44" customFormat="false" ht="12.75" hidden="false" customHeight="false" outlineLevel="0" collapsed="false">
      <c r="B44" s="146" t="n">
        <v>37469</v>
      </c>
    </row>
    <row r="45" customFormat="false" ht="12.75" hidden="false" customHeight="false" outlineLevel="0" collapsed="false">
      <c r="B45" s="146" t="n">
        <v>37500</v>
      </c>
    </row>
    <row r="46" customFormat="false" ht="12.75" hidden="false" customHeight="false" outlineLevel="0" collapsed="false">
      <c r="B46" s="146" t="n">
        <v>37530</v>
      </c>
    </row>
    <row r="47" customFormat="false" ht="12.75" hidden="false" customHeight="false" outlineLevel="0" collapsed="false">
      <c r="B47" s="146" t="n">
        <v>37561</v>
      </c>
      <c r="C47" s="0" t="n">
        <v>0.02</v>
      </c>
    </row>
    <row r="48" customFormat="false" ht="12.75" hidden="false" customHeight="false" outlineLevel="0" collapsed="false">
      <c r="B48" s="146" t="n">
        <v>37591</v>
      </c>
      <c r="C48" s="0" t="n">
        <v>0.0237</v>
      </c>
    </row>
    <row r="49" customFormat="false" ht="12.75" hidden="false" customHeight="false" outlineLevel="0" collapsed="false">
      <c r="B49" s="146" t="n">
        <v>37622</v>
      </c>
      <c r="C49" s="0" t="n">
        <v>0.0184</v>
      </c>
    </row>
    <row r="50" customFormat="false" ht="12.75" hidden="false" customHeight="false" outlineLevel="0" collapsed="false">
      <c r="B50" s="146" t="n">
        <v>37653</v>
      </c>
      <c r="C50" s="0" t="n">
        <v>0.0142</v>
      </c>
    </row>
    <row r="51" customFormat="false" ht="12.75" hidden="false" customHeight="false" outlineLevel="0" collapsed="false">
      <c r="B51" s="146" t="n">
        <v>37681</v>
      </c>
      <c r="C51" s="0" t="n">
        <v>0.0118</v>
      </c>
    </row>
    <row r="52" customFormat="false" ht="12.75" hidden="false" customHeight="false" outlineLevel="0" collapsed="false">
      <c r="B52" s="146" t="n">
        <v>37712</v>
      </c>
    </row>
    <row r="53" customFormat="false" ht="12.75" hidden="false" customHeight="false" outlineLevel="0" collapsed="false">
      <c r="B53" s="146" t="n">
        <v>37742</v>
      </c>
    </row>
    <row r="54" customFormat="false" ht="12.75" hidden="false" customHeight="false" outlineLevel="0" collapsed="false">
      <c r="B54" s="146" t="n">
        <v>37773</v>
      </c>
    </row>
    <row r="55" customFormat="false" ht="12.75" hidden="false" customHeight="false" outlineLevel="0" collapsed="false">
      <c r="B55" s="146" t="n">
        <v>37803</v>
      </c>
    </row>
    <row r="56" customFormat="false" ht="12.75" hidden="false" customHeight="false" outlineLevel="0" collapsed="false">
      <c r="B56" s="146" t="n">
        <v>37834</v>
      </c>
    </row>
    <row r="57" customFormat="false" ht="12.75" hidden="false" customHeight="false" outlineLevel="0" collapsed="false">
      <c r="B57" s="146" t="n">
        <v>37865</v>
      </c>
    </row>
    <row r="58" customFormat="false" ht="12.75" hidden="false" customHeight="false" outlineLevel="0" collapsed="false">
      <c r="B58" s="146" t="n">
        <v>37895</v>
      </c>
    </row>
    <row r="59" customFormat="false" ht="12.75" hidden="false" customHeight="false" outlineLevel="0" collapsed="false">
      <c r="B59" s="146" t="n">
        <v>37926</v>
      </c>
      <c r="C59" s="0" t="n">
        <v>0.02</v>
      </c>
    </row>
    <row r="60" customFormat="false" ht="12.75" hidden="false" customHeight="false" outlineLevel="0" collapsed="false">
      <c r="B60" s="146" t="n">
        <v>37956</v>
      </c>
      <c r="C60" s="0" t="n">
        <v>0.0237</v>
      </c>
    </row>
    <row r="61" customFormat="false" ht="12.75" hidden="false" customHeight="false" outlineLevel="0" collapsed="false">
      <c r="B61" s="146" t="n">
        <v>37987</v>
      </c>
      <c r="C61" s="0" t="n">
        <v>0.0184</v>
      </c>
    </row>
    <row r="62" customFormat="false" ht="12.75" hidden="false" customHeight="false" outlineLevel="0" collapsed="false">
      <c r="B62" s="146" t="n">
        <v>38018</v>
      </c>
      <c r="C62" s="0" t="n">
        <v>0.0142</v>
      </c>
    </row>
    <row r="63" customFormat="false" ht="12.75" hidden="false" customHeight="false" outlineLevel="0" collapsed="false">
      <c r="B63" s="146" t="n">
        <v>38047</v>
      </c>
      <c r="C63" s="0" t="n">
        <v>0.0118</v>
      </c>
    </row>
    <row r="64" customFormat="false" ht="12.75" hidden="false" customHeight="false" outlineLevel="0" collapsed="false">
      <c r="B64" s="146" t="n">
        <v>38078</v>
      </c>
    </row>
    <row r="65" customFormat="false" ht="12.75" hidden="false" customHeight="false" outlineLevel="0" collapsed="false">
      <c r="B65" s="146" t="n">
        <v>38108</v>
      </c>
    </row>
    <row r="66" customFormat="false" ht="12.75" hidden="false" customHeight="false" outlineLevel="0" collapsed="false">
      <c r="B66" s="146" t="n">
        <v>38139</v>
      </c>
    </row>
    <row r="67" customFormat="false" ht="12.75" hidden="false" customHeight="false" outlineLevel="0" collapsed="false">
      <c r="B67" s="146" t="n">
        <v>38169</v>
      </c>
    </row>
    <row r="68" customFormat="false" ht="12.75" hidden="false" customHeight="false" outlineLevel="0" collapsed="false">
      <c r="B68" s="146" t="n">
        <v>38200</v>
      </c>
    </row>
    <row r="69" customFormat="false" ht="12.75" hidden="false" customHeight="false" outlineLevel="0" collapsed="false">
      <c r="B69" s="146" t="n">
        <v>38231</v>
      </c>
    </row>
    <row r="70" customFormat="false" ht="12.75" hidden="false" customHeight="false" outlineLevel="0" collapsed="false">
      <c r="B70" s="146" t="n">
        <v>38261</v>
      </c>
    </row>
    <row r="71" customFormat="false" ht="12.75" hidden="false" customHeight="false" outlineLevel="0" collapsed="false">
      <c r="B71" s="146" t="n">
        <v>38292</v>
      </c>
      <c r="C71" s="0" t="n">
        <v>0.02</v>
      </c>
    </row>
    <row r="72" customFormat="false" ht="12.75" hidden="false" customHeight="false" outlineLevel="0" collapsed="false">
      <c r="B72" s="146" t="n">
        <v>38322</v>
      </c>
      <c r="C72" s="0" t="n">
        <v>0.0237</v>
      </c>
    </row>
    <row r="73" customFormat="false" ht="12.75" hidden="false" customHeight="false" outlineLevel="0" collapsed="false">
      <c r="B73" s="146" t="n">
        <v>38353</v>
      </c>
      <c r="C73" s="0" t="n">
        <v>0.0184</v>
      </c>
    </row>
    <row r="74" customFormat="false" ht="12.75" hidden="false" customHeight="false" outlineLevel="0" collapsed="false">
      <c r="B74" s="146" t="n">
        <v>38384</v>
      </c>
      <c r="C74" s="0" t="n">
        <v>0.0142</v>
      </c>
    </row>
    <row r="75" customFormat="false" ht="12.75" hidden="false" customHeight="false" outlineLevel="0" collapsed="false">
      <c r="B75" s="146" t="n">
        <v>38412</v>
      </c>
      <c r="C75" s="0" t="n">
        <v>0.0118</v>
      </c>
    </row>
    <row r="76" customFormat="false" ht="12.75" hidden="false" customHeight="false" outlineLevel="0" collapsed="false">
      <c r="B76" s="146" t="n">
        <v>38443</v>
      </c>
    </row>
    <row r="77" customFormat="false" ht="12.75" hidden="false" customHeight="false" outlineLevel="0" collapsed="false">
      <c r="B77" s="146" t="n">
        <v>38473</v>
      </c>
    </row>
    <row r="78" customFormat="false" ht="12.75" hidden="false" customHeight="false" outlineLevel="0" collapsed="false">
      <c r="B78" s="146" t="n">
        <v>38504</v>
      </c>
    </row>
    <row r="79" customFormat="false" ht="12.75" hidden="false" customHeight="false" outlineLevel="0" collapsed="false">
      <c r="B79" s="146" t="n">
        <v>38534</v>
      </c>
    </row>
    <row r="80" customFormat="false" ht="12.75" hidden="false" customHeight="false" outlineLevel="0" collapsed="false">
      <c r="B80" s="146" t="n">
        <v>38565</v>
      </c>
    </row>
    <row r="81" customFormat="false" ht="12.75" hidden="false" customHeight="false" outlineLevel="0" collapsed="false">
      <c r="B81" s="146" t="n">
        <v>38596</v>
      </c>
    </row>
    <row r="82" customFormat="false" ht="12.75" hidden="false" customHeight="false" outlineLevel="0" collapsed="false">
      <c r="B82" s="146" t="n">
        <v>38626</v>
      </c>
    </row>
    <row r="83" customFormat="false" ht="12.75" hidden="false" customHeight="false" outlineLevel="0" collapsed="false">
      <c r="B83" s="146" t="n">
        <v>38657</v>
      </c>
      <c r="C83" s="0" t="n">
        <v>0.02</v>
      </c>
    </row>
    <row r="84" customFormat="false" ht="12.75" hidden="false" customHeight="false" outlineLevel="0" collapsed="false">
      <c r="B84" s="146" t="n">
        <v>38687</v>
      </c>
      <c r="C84" s="0" t="n">
        <v>0.0237</v>
      </c>
    </row>
    <row r="85" customFormat="false" ht="12.75" hidden="false" customHeight="false" outlineLevel="0" collapsed="false">
      <c r="B85" s="146" t="n">
        <v>38718</v>
      </c>
      <c r="C85" s="0" t="n">
        <v>0.0184</v>
      </c>
    </row>
    <row r="86" customFormat="false" ht="12.75" hidden="false" customHeight="false" outlineLevel="0" collapsed="false">
      <c r="B86" s="146" t="n">
        <v>38749</v>
      </c>
      <c r="C86" s="0" t="n">
        <v>0.0142</v>
      </c>
    </row>
    <row r="87" customFormat="false" ht="12.75" hidden="false" customHeight="false" outlineLevel="0" collapsed="false">
      <c r="B87" s="146" t="n">
        <v>38777</v>
      </c>
      <c r="C87" s="0" t="n">
        <v>0.0118</v>
      </c>
    </row>
    <row r="88" customFormat="false" ht="12.75" hidden="false" customHeight="false" outlineLevel="0" collapsed="false">
      <c r="B88" s="146" t="n">
        <v>38808</v>
      </c>
    </row>
    <row r="89" customFormat="false" ht="12.75" hidden="false" customHeight="false" outlineLevel="0" collapsed="false">
      <c r="B89" s="146" t="n">
        <v>38838</v>
      </c>
    </row>
    <row r="90" customFormat="false" ht="12.75" hidden="false" customHeight="false" outlineLevel="0" collapsed="false">
      <c r="B90" s="146" t="n">
        <v>38869</v>
      </c>
    </row>
    <row r="91" customFormat="false" ht="12.75" hidden="false" customHeight="false" outlineLevel="0" collapsed="false">
      <c r="B91" s="146" t="n">
        <v>38899</v>
      </c>
    </row>
    <row r="92" customFormat="false" ht="12.75" hidden="false" customHeight="false" outlineLevel="0" collapsed="false">
      <c r="B92" s="146" t="n">
        <v>38930</v>
      </c>
    </row>
    <row r="93" customFormat="false" ht="12.75" hidden="false" customHeight="false" outlineLevel="0" collapsed="false">
      <c r="B93" s="146" t="n">
        <v>38961</v>
      </c>
    </row>
    <row r="94" customFormat="false" ht="12.75" hidden="false" customHeight="false" outlineLevel="0" collapsed="false">
      <c r="B94" s="146" t="n">
        <v>38991</v>
      </c>
    </row>
    <row r="95" customFormat="false" ht="12.75" hidden="false" customHeight="false" outlineLevel="0" collapsed="false">
      <c r="B95" s="146" t="n">
        <v>39022</v>
      </c>
      <c r="C95" s="0" t="n">
        <v>0.03771</v>
      </c>
    </row>
    <row r="96" customFormat="false" ht="12.75" hidden="false" customHeight="false" outlineLevel="0" collapsed="false">
      <c r="B96" s="146" t="n">
        <v>39052</v>
      </c>
      <c r="C96" s="0" t="n">
        <v>0.0345</v>
      </c>
    </row>
    <row r="97" customFormat="false" ht="12.75" hidden="false" customHeight="false" outlineLevel="0" collapsed="false">
      <c r="B97" s="146" t="n">
        <v>39083</v>
      </c>
      <c r="C97" s="0" t="n">
        <v>0.02722</v>
      </c>
    </row>
    <row r="98" customFormat="false" ht="12.75" hidden="false" customHeight="false" outlineLevel="0" collapsed="false">
      <c r="B98" s="146" t="n">
        <v>39114</v>
      </c>
      <c r="C98" s="0" t="n">
        <v>0.02667</v>
      </c>
    </row>
    <row r="99" customFormat="false" ht="12.75" hidden="false" customHeight="false" outlineLevel="0" collapsed="false">
      <c r="B99" s="146" t="n">
        <v>39142</v>
      </c>
      <c r="C99" s="0" t="n">
        <v>0.02668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1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0.85"/>
    <col collapsed="false" customWidth="true" hidden="false" outlineLevel="0" max="3" min="3" style="0" width="11.42"/>
    <col collapsed="false" customWidth="true" hidden="false" outlineLevel="0" max="4" min="4" style="0" width="11.7"/>
    <col collapsed="false" customWidth="true" hidden="false" outlineLevel="0" max="5" min="5" style="0" width="14.99"/>
  </cols>
  <sheetData>
    <row r="1" customFormat="false" ht="12.75" hidden="false" customHeight="false" outlineLevel="0" collapsed="false">
      <c r="A1" s="4" t="s">
        <v>93</v>
      </c>
      <c r="B1" s="52" t="n">
        <f aca="false">'R&amp;C Model'!B1</f>
        <v>36526</v>
      </c>
    </row>
    <row r="2" customFormat="false" ht="12.75" hidden="false" customHeight="false" outlineLevel="0" collapsed="false">
      <c r="A2" s="4" t="s">
        <v>96</v>
      </c>
      <c r="B2" s="56" t="n">
        <f aca="false">VLOOKUP($B$1,'6,7,5 vols'!$A$1:$O$86,2)</f>
        <v>31</v>
      </c>
    </row>
    <row r="3" customFormat="false" ht="12.75" hidden="false" customHeight="false" outlineLevel="0" collapsed="false">
      <c r="A3" s="4" t="s">
        <v>173</v>
      </c>
      <c r="B3" s="56" t="n">
        <f aca="false">VLOOKUP($B$1,'6,7,5 vols'!$A$1:$O$86,8)</f>
        <v>1177999.93</v>
      </c>
    </row>
    <row r="5" customFormat="false" ht="12.75" hidden="false" customHeight="false" outlineLevel="0" collapsed="false">
      <c r="A5" s="4" t="s">
        <v>174</v>
      </c>
      <c r="B5" s="160" t="n">
        <f aca="false">'R&amp;C Model'!B9</f>
        <v>2.34</v>
      </c>
    </row>
    <row r="6" customFormat="false" ht="12.75" hidden="false" customHeight="false" outlineLevel="0" collapsed="false">
      <c r="A6" s="4" t="s">
        <v>175</v>
      </c>
      <c r="B6" s="161" t="n">
        <f aca="false">'R&amp;C Model'!B10</f>
        <v>-0.015</v>
      </c>
    </row>
    <row r="8" customFormat="false" ht="12.75" hidden="false" customHeight="false" outlineLevel="0" collapsed="false">
      <c r="A8" s="83" t="s">
        <v>176</v>
      </c>
    </row>
    <row r="9" customFormat="false" ht="12.75" hidden="false" customHeight="false" outlineLevel="0" collapsed="false">
      <c r="A9" s="4" t="s">
        <v>177</v>
      </c>
      <c r="B9" s="59" t="n">
        <f aca="false">30+120000+154276+990000+63000</f>
        <v>1327306</v>
      </c>
      <c r="C9" s="0" t="s">
        <v>178</v>
      </c>
    </row>
    <row r="10" customFormat="false" ht="12.75" hidden="false" customHeight="false" outlineLevel="0" collapsed="false">
      <c r="A10" s="4" t="s">
        <v>179</v>
      </c>
      <c r="B10" s="56" t="n">
        <f aca="false">VLOOKUP($B$1,'6,7,5 vols'!$A$1:$O$86,11)</f>
        <v>930000</v>
      </c>
      <c r="E10" s="57"/>
    </row>
    <row r="11" customFormat="false" ht="12.75" hidden="false" customHeight="false" outlineLevel="0" collapsed="false">
      <c r="A11" s="4" t="s">
        <v>110</v>
      </c>
      <c r="B11" s="162" t="n">
        <f aca="false">$B$5+$B$6+VLOOKUP($B$1,'6,7,5 vols'!$A$1:$Q$86,13)</f>
        <v>2.345</v>
      </c>
    </row>
    <row r="12" customFormat="false" ht="12.75" hidden="false" customHeight="false" outlineLevel="0" collapsed="false">
      <c r="A12" s="4" t="s">
        <v>180</v>
      </c>
      <c r="B12" s="163" t="n">
        <f aca="false">$B$5+VLOOKUP($B$1,'6,7,5 vols'!$A$1:$Q$86,12)+VLOOKUP($B$1,'6,7,5 vols'!$A$1:$Q$86,13)</f>
        <v>2.27</v>
      </c>
      <c r="G12" s="57"/>
    </row>
    <row r="13" customFormat="false" ht="12.75" hidden="false" customHeight="false" outlineLevel="0" collapsed="false">
      <c r="E13" s="57" t="n">
        <f aca="false">B9+B15</f>
        <v>1566326</v>
      </c>
    </row>
    <row r="14" customFormat="false" ht="12.75" hidden="false" customHeight="false" outlineLevel="0" collapsed="false">
      <c r="A14" s="83" t="s">
        <v>181</v>
      </c>
    </row>
    <row r="15" customFormat="false" ht="12.75" hidden="false" customHeight="false" outlineLevel="0" collapsed="false">
      <c r="A15" s="4" t="str">
        <f aca="false">A9</f>
        <v>Actual Volume</v>
      </c>
      <c r="B15" s="59" t="n">
        <f aca="false">88278+24650+126092</f>
        <v>239020</v>
      </c>
      <c r="C15" s="0" t="n">
        <v>70550</v>
      </c>
    </row>
    <row r="16" customFormat="false" ht="12.75" hidden="false" customHeight="false" outlineLevel="0" collapsed="false">
      <c r="A16" s="4" t="str">
        <f aca="false">A10</f>
        <v>Booked Volume</v>
      </c>
      <c r="B16" s="56" t="n">
        <f aca="false">VLOOKUP($B$1,'6,7,5 vols'!$A$1:$O$86,15)</f>
        <v>248000</v>
      </c>
    </row>
    <row r="17" customFormat="false" ht="12.75" hidden="false" customHeight="false" outlineLevel="0" collapsed="false">
      <c r="A17" s="4" t="str">
        <f aca="false">A11</f>
        <v>Desk Price</v>
      </c>
      <c r="B17" s="162" t="n">
        <f aca="false">$B$5+$B$6+VLOOKUP($B$1,'6,7,5 vols'!$A$1:$Q$86,17)</f>
        <v>2.4339</v>
      </c>
    </row>
    <row r="18" customFormat="false" ht="12.75" hidden="false" customHeight="false" outlineLevel="0" collapsed="false">
      <c r="A18" s="4" t="str">
        <f aca="false">A12</f>
        <v>Customer Price</v>
      </c>
      <c r="B18" s="163" t="n">
        <f aca="false">$B$5+VLOOKUP($B$1,'6,7,5 vols'!$A$1:$Q$86,16)+VLOOKUP($B$1,'6,7,5 vols'!$A$1:$Q$86,17)</f>
        <v>2.22</v>
      </c>
    </row>
    <row r="20" customFormat="false" ht="12.75" hidden="false" customHeight="false" outlineLevel="0" collapsed="false">
      <c r="B20" s="67"/>
      <c r="C20" s="71"/>
      <c r="K20" s="42"/>
      <c r="L20" s="42"/>
    </row>
    <row r="21" customFormat="false" ht="12.75" hidden="false" customHeight="false" outlineLevel="0" collapsed="false">
      <c r="A21" s="164"/>
      <c r="B21" s="165" t="s">
        <v>120</v>
      </c>
      <c r="C21" s="77"/>
      <c r="D21" s="77"/>
      <c r="E21" s="79"/>
      <c r="K21" s="166"/>
      <c r="L21" s="42"/>
    </row>
    <row r="22" customFormat="false" ht="12.75" hidden="false" customHeight="false" outlineLevel="0" collapsed="false">
      <c r="A22" s="108"/>
      <c r="B22" s="167"/>
      <c r="C22" s="81"/>
      <c r="D22" s="81"/>
      <c r="E22" s="82"/>
      <c r="K22" s="42"/>
      <c r="L22" s="42"/>
    </row>
    <row r="23" customFormat="false" ht="12.75" hidden="false" customHeight="false" outlineLevel="0" collapsed="false">
      <c r="A23" s="108"/>
      <c r="B23" s="83" t="s">
        <v>182</v>
      </c>
      <c r="C23" s="83"/>
      <c r="D23" s="168" t="s">
        <v>183</v>
      </c>
      <c r="E23" s="84" t="s">
        <v>123</v>
      </c>
      <c r="K23" s="128"/>
      <c r="L23" s="42"/>
    </row>
    <row r="24" customFormat="false" ht="12.75" hidden="false" customHeight="false" outlineLevel="0" collapsed="false">
      <c r="A24" s="108"/>
      <c r="B24" s="88"/>
      <c r="C24" s="169"/>
      <c r="D24" s="88"/>
      <c r="E24" s="169"/>
      <c r="K24" s="170"/>
      <c r="L24" s="42"/>
    </row>
    <row r="25" customFormat="false" ht="12.75" hidden="false" customHeight="false" outlineLevel="0" collapsed="false">
      <c r="A25" s="95" t="s">
        <v>184</v>
      </c>
      <c r="B25" s="169" t="n">
        <f aca="false">B9*B11</f>
        <v>3112532.57</v>
      </c>
      <c r="C25" s="169"/>
      <c r="D25" s="88" t="n">
        <f aca="false">IF(B9&lt;B10,B9*B12,B10*B12)</f>
        <v>2111100</v>
      </c>
      <c r="E25" s="171" t="n">
        <f aca="false">B10*($B$6-(VLOOKUP($B$1,'6,7,5 vols'!$A1:Q$86,12)))</f>
        <v>69750</v>
      </c>
      <c r="G25" s="172"/>
      <c r="H25" s="173"/>
      <c r="K25" s="170"/>
      <c r="L25" s="42"/>
    </row>
    <row r="26" customFormat="false" ht="12.75" hidden="false" customHeight="false" outlineLevel="0" collapsed="false">
      <c r="B26" s="81"/>
      <c r="C26" s="174"/>
      <c r="D26" s="88" t="n">
        <f aca="false">IF(B9&gt;B10,(B9-B10)*(B5+0.05),0)</f>
        <v>949561.34</v>
      </c>
      <c r="E26" s="171" t="n">
        <f aca="false">B16*($B$6-(VLOOKUP($B$1,'6,7,5 vols'!$A2:Q$86,16)))</f>
        <v>53047.2</v>
      </c>
      <c r="G26" s="175"/>
      <c r="H26" s="173"/>
      <c r="K26" s="57"/>
    </row>
    <row r="27" customFormat="false" ht="12.75" hidden="false" customHeight="false" outlineLevel="0" collapsed="false">
      <c r="A27" s="95" t="s">
        <v>185</v>
      </c>
      <c r="B27" s="169" t="n">
        <f aca="false">B15*B17</f>
        <v>581750.778</v>
      </c>
      <c r="C27" s="169"/>
      <c r="D27" s="88" t="n">
        <f aca="false">B15*B18</f>
        <v>530624.4</v>
      </c>
      <c r="E27" s="171"/>
      <c r="G27" s="172"/>
      <c r="H27" s="173"/>
      <c r="K27" s="57"/>
    </row>
    <row r="28" customFormat="false" ht="12.75" hidden="false" customHeight="false" outlineLevel="0" collapsed="false">
      <c r="A28" s="108"/>
      <c r="B28" s="169"/>
      <c r="C28" s="169"/>
      <c r="D28" s="88"/>
      <c r="E28" s="171"/>
      <c r="G28" s="175"/>
      <c r="H28" s="173"/>
      <c r="K28" s="176"/>
    </row>
    <row r="29" customFormat="false" ht="12.75" hidden="false" customHeight="false" outlineLevel="0" collapsed="false">
      <c r="A29" s="108"/>
      <c r="B29" s="169"/>
      <c r="C29" s="169"/>
      <c r="D29" s="88"/>
      <c r="E29" s="171"/>
    </row>
    <row r="30" customFormat="false" ht="12.75" hidden="false" customHeight="false" outlineLevel="0" collapsed="false">
      <c r="A30" s="108"/>
      <c r="B30" s="177"/>
      <c r="C30" s="177"/>
      <c r="D30" s="104"/>
      <c r="E30" s="178"/>
      <c r="F30" s="42"/>
      <c r="G30" s="175"/>
    </row>
    <row r="31" customFormat="false" ht="12.75" hidden="false" customHeight="false" outlineLevel="0" collapsed="false">
      <c r="A31" s="179" t="s">
        <v>134</v>
      </c>
      <c r="B31" s="180" t="n">
        <f aca="false">SUM(B25:C30)</f>
        <v>3694283.348</v>
      </c>
      <c r="C31" s="180"/>
      <c r="D31" s="104" t="n">
        <f aca="false">SUM(D25:D30)</f>
        <v>3591285.74</v>
      </c>
      <c r="E31" s="177" t="n">
        <f aca="false">SUM(E25:E30)</f>
        <v>122797.2</v>
      </c>
    </row>
    <row r="32" customFormat="false" ht="12.75" hidden="false" customHeight="false" outlineLevel="0" collapsed="false">
      <c r="B32" s="72"/>
      <c r="D32" s="181"/>
      <c r="E32" s="72"/>
    </row>
    <row r="34" customFormat="false" ht="12.75" hidden="false" customHeight="false" outlineLevel="0" collapsed="false">
      <c r="B34" s="4" t="s">
        <v>186</v>
      </c>
      <c r="C34" s="182" t="n">
        <f aca="false">D31+E31-B31</f>
        <v>19799.5920000002</v>
      </c>
      <c r="D34" s="182"/>
    </row>
    <row r="36" customFormat="false" ht="12.75" hidden="false" customHeight="false" outlineLevel="0" collapsed="false">
      <c r="A36" s="40" t="s">
        <v>187</v>
      </c>
    </row>
    <row r="38" customFormat="false" ht="12.75" hidden="false" customHeight="false" outlineLevel="0" collapsed="false">
      <c r="A38" s="4" t="s">
        <v>188</v>
      </c>
      <c r="C38" s="183" t="n">
        <f aca="false">+B15</f>
        <v>239020</v>
      </c>
      <c r="D38" s="0" t="s">
        <v>189</v>
      </c>
      <c r="E38" s="184" t="n">
        <v>70550</v>
      </c>
    </row>
    <row r="39" customFormat="false" ht="12.75" hidden="false" customHeight="false" outlineLevel="0" collapsed="false">
      <c r="A39" s="12"/>
    </row>
    <row r="40" customFormat="false" ht="12.75" hidden="false" customHeight="false" outlineLevel="0" collapsed="false">
      <c r="A40" s="4" t="s">
        <v>190</v>
      </c>
      <c r="C40" s="162" t="n">
        <f aca="false">C34/C38</f>
        <v>0.082836549242742</v>
      </c>
    </row>
    <row r="41" customFormat="false" ht="12.75" hidden="false" customHeight="false" outlineLevel="0" collapsed="false">
      <c r="C41" s="12"/>
    </row>
  </sheetData>
  <mergeCells count="8">
    <mergeCell ref="B23:C23"/>
    <mergeCell ref="B25:C25"/>
    <mergeCell ref="B27:C27"/>
    <mergeCell ref="B28:C28"/>
    <mergeCell ref="B29:C29"/>
    <mergeCell ref="B30:C30"/>
    <mergeCell ref="B31:C31"/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0.28"/>
    <col collapsed="false" customWidth="true" hidden="false" outlineLevel="0" max="10" min="10" style="0" width="8.85"/>
    <col collapsed="false" customWidth="true" hidden="false" outlineLevel="0" max="11" min="11" style="0" width="10.56"/>
  </cols>
  <sheetData>
    <row r="1" customFormat="false" ht="51" hidden="false" customHeight="false" outlineLevel="0" collapsed="false">
      <c r="A1" s="131" t="s">
        <v>93</v>
      </c>
      <c r="B1" s="131" t="s">
        <v>96</v>
      </c>
      <c r="C1" s="132" t="n">
        <v>70495</v>
      </c>
      <c r="D1" s="132" t="n">
        <v>70550</v>
      </c>
      <c r="E1" s="132" t="n">
        <v>70499</v>
      </c>
      <c r="F1" s="132"/>
      <c r="H1" s="134" t="s">
        <v>191</v>
      </c>
      <c r="I1" s="4" t="s">
        <v>153</v>
      </c>
      <c r="K1" s="134" t="s">
        <v>192</v>
      </c>
      <c r="L1" s="134" t="s">
        <v>193</v>
      </c>
      <c r="M1" s="134" t="s">
        <v>194</v>
      </c>
      <c r="N1" s="134"/>
      <c r="O1" s="134" t="s">
        <v>195</v>
      </c>
      <c r="P1" s="134" t="s">
        <v>193</v>
      </c>
      <c r="Q1" s="134" t="s">
        <v>194</v>
      </c>
    </row>
    <row r="2" customFormat="false" ht="12.75" hidden="false" customHeight="false" outlineLevel="0" collapsed="false">
      <c r="A2" s="137" t="s">
        <v>161</v>
      </c>
      <c r="B2" s="83"/>
      <c r="C2" s="142" t="n">
        <v>6</v>
      </c>
      <c r="D2" s="134" t="n">
        <v>7</v>
      </c>
      <c r="E2" s="134" t="n">
        <v>5</v>
      </c>
      <c r="F2" s="185"/>
      <c r="H2" s="144" t="n">
        <v>8</v>
      </c>
      <c r="I2" s="186" t="n">
        <f aca="false">H2+1</f>
        <v>9</v>
      </c>
      <c r="J2" s="186" t="n">
        <f aca="false">I2+1</f>
        <v>10</v>
      </c>
      <c r="K2" s="186" t="n">
        <f aca="false">J2+1</f>
        <v>11</v>
      </c>
      <c r="L2" s="186" t="n">
        <f aca="false">K2+1</f>
        <v>12</v>
      </c>
      <c r="M2" s="186" t="n">
        <f aca="false">L2+1</f>
        <v>13</v>
      </c>
      <c r="N2" s="186" t="n">
        <f aca="false">M2+1</f>
        <v>14</v>
      </c>
      <c r="O2" s="186" t="n">
        <f aca="false">N2+1</f>
        <v>15</v>
      </c>
      <c r="P2" s="186" t="n">
        <f aca="false">O2+1</f>
        <v>16</v>
      </c>
      <c r="Q2" s="186" t="n">
        <f aca="false">P2+1</f>
        <v>17</v>
      </c>
    </row>
    <row r="3" customFormat="false" ht="12.75" hidden="false" customHeight="false" outlineLevel="0" collapsed="false">
      <c r="A3" s="146" t="n">
        <v>36251</v>
      </c>
      <c r="B3" s="147" t="n">
        <v>30</v>
      </c>
      <c r="C3" s="187" t="n">
        <f aca="false">20000*B3</f>
        <v>600000</v>
      </c>
      <c r="D3" s="148" t="n">
        <f aca="false">8000*B3</f>
        <v>240000</v>
      </c>
      <c r="E3" s="187" t="n">
        <f aca="false">10000*B3</f>
        <v>300000</v>
      </c>
      <c r="F3" s="187"/>
      <c r="H3" s="188" t="n">
        <f aca="false">SUM(K3:O3)</f>
        <v>1139999.93</v>
      </c>
      <c r="I3" s="12" t="n">
        <f aca="false">H3/B3</f>
        <v>37999.9976666667</v>
      </c>
      <c r="K3" s="148" t="n">
        <f aca="false">30000*'1-10 vols'!B3</f>
        <v>900000</v>
      </c>
      <c r="L3" s="189" t="n">
        <v>-0.09</v>
      </c>
      <c r="M3" s="189" t="n">
        <v>0.02</v>
      </c>
      <c r="N3" s="148"/>
      <c r="O3" s="148" t="n">
        <f aca="false">8000*'1-10 vols'!B3</f>
        <v>240000</v>
      </c>
      <c r="P3" s="190" t="n">
        <v>-0.2289</v>
      </c>
      <c r="Q3" s="190" t="n">
        <v>0.1089</v>
      </c>
    </row>
    <row r="4" customFormat="false" ht="12.75" hidden="false" customHeight="false" outlineLevel="0" collapsed="false">
      <c r="A4" s="146" t="n">
        <v>36281</v>
      </c>
      <c r="B4" s="147" t="n">
        <v>31</v>
      </c>
      <c r="C4" s="187" t="n">
        <f aca="false">20000*B4</f>
        <v>620000</v>
      </c>
      <c r="D4" s="148" t="n">
        <f aca="false">8000*B4</f>
        <v>248000</v>
      </c>
      <c r="E4" s="187" t="n">
        <f aca="false">10000*B4</f>
        <v>310000</v>
      </c>
      <c r="F4" s="187"/>
      <c r="H4" s="188" t="n">
        <f aca="false">SUM(K4:O4)</f>
        <v>1177999.93</v>
      </c>
      <c r="I4" s="12" t="n">
        <f aca="false">H4/B4</f>
        <v>37999.9977419355</v>
      </c>
      <c r="K4" s="148" t="n">
        <f aca="false">30000*'1-10 vols'!B4</f>
        <v>930000</v>
      </c>
      <c r="L4" s="189" t="n">
        <v>-0.09</v>
      </c>
      <c r="M4" s="189" t="n">
        <v>0.02</v>
      </c>
      <c r="N4" s="148"/>
      <c r="O4" s="148" t="n">
        <f aca="false">8000*'1-10 vols'!B4</f>
        <v>248000</v>
      </c>
      <c r="P4" s="190" t="n">
        <v>-0.2289</v>
      </c>
      <c r="Q4" s="190" t="n">
        <v>0.1089</v>
      </c>
    </row>
    <row r="5" customFormat="false" ht="12.75" hidden="false" customHeight="false" outlineLevel="0" collapsed="false">
      <c r="A5" s="146" t="n">
        <v>36312</v>
      </c>
      <c r="B5" s="147" t="n">
        <v>30</v>
      </c>
      <c r="C5" s="187" t="n">
        <f aca="false">20000*B5</f>
        <v>600000</v>
      </c>
      <c r="D5" s="148" t="n">
        <f aca="false">8000*B5</f>
        <v>240000</v>
      </c>
      <c r="E5" s="187" t="n">
        <f aca="false">10000*B5</f>
        <v>300000</v>
      </c>
      <c r="F5" s="187"/>
      <c r="H5" s="188" t="n">
        <f aca="false">SUM(K5:O5)</f>
        <v>1139999.93</v>
      </c>
      <c r="I5" s="12" t="n">
        <f aca="false">H5/B5</f>
        <v>37999.9976666667</v>
      </c>
      <c r="K5" s="148" t="n">
        <f aca="false">30000*'1-10 vols'!B5</f>
        <v>900000</v>
      </c>
      <c r="L5" s="189" t="n">
        <v>-0.09</v>
      </c>
      <c r="M5" s="189" t="n">
        <v>0.02</v>
      </c>
      <c r="N5" s="148"/>
      <c r="O5" s="148" t="n">
        <f aca="false">8000*'1-10 vols'!B5</f>
        <v>240000</v>
      </c>
      <c r="P5" s="190" t="n">
        <v>-0.2289</v>
      </c>
      <c r="Q5" s="190" t="n">
        <v>0.1089</v>
      </c>
    </row>
    <row r="6" customFormat="false" ht="12.75" hidden="false" customHeight="false" outlineLevel="0" collapsed="false">
      <c r="A6" s="146" t="n">
        <v>36342</v>
      </c>
      <c r="B6" s="147" t="n">
        <v>31</v>
      </c>
      <c r="C6" s="187" t="n">
        <f aca="false">20000*B6</f>
        <v>620000</v>
      </c>
      <c r="D6" s="148" t="n">
        <f aca="false">8000*B6</f>
        <v>248000</v>
      </c>
      <c r="E6" s="187" t="n">
        <f aca="false">10000*B6</f>
        <v>310000</v>
      </c>
      <c r="F6" s="187"/>
      <c r="H6" s="188" t="n">
        <f aca="false">SUM(K6:O6)</f>
        <v>1177999.93</v>
      </c>
      <c r="I6" s="12" t="n">
        <f aca="false">H6/B6</f>
        <v>37999.9977419355</v>
      </c>
      <c r="K6" s="148" t="n">
        <f aca="false">30000*'1-10 vols'!B6</f>
        <v>930000</v>
      </c>
      <c r="L6" s="189" t="n">
        <v>-0.09</v>
      </c>
      <c r="M6" s="189" t="n">
        <v>0.02</v>
      </c>
      <c r="N6" s="148"/>
      <c r="O6" s="148" t="n">
        <f aca="false">8000*'1-10 vols'!B6</f>
        <v>248000</v>
      </c>
      <c r="P6" s="190" t="n">
        <v>-0.2289</v>
      </c>
      <c r="Q6" s="190" t="n">
        <v>0.1089</v>
      </c>
    </row>
    <row r="7" customFormat="false" ht="12.75" hidden="false" customHeight="false" outlineLevel="0" collapsed="false">
      <c r="A7" s="146" t="n">
        <v>36373</v>
      </c>
      <c r="B7" s="147" t="n">
        <v>31</v>
      </c>
      <c r="C7" s="187" t="n">
        <f aca="false">20000*B7</f>
        <v>620000</v>
      </c>
      <c r="D7" s="148" t="n">
        <f aca="false">8000*B7</f>
        <v>248000</v>
      </c>
      <c r="E7" s="187" t="n">
        <f aca="false">10000*B7</f>
        <v>310000</v>
      </c>
      <c r="F7" s="187"/>
      <c r="H7" s="188" t="n">
        <f aca="false">SUM(K7:O7)</f>
        <v>1177999.93</v>
      </c>
      <c r="I7" s="12" t="n">
        <f aca="false">H7/B7</f>
        <v>37999.9977419355</v>
      </c>
      <c r="K7" s="148" t="n">
        <f aca="false">30000*'1-10 vols'!B7</f>
        <v>930000</v>
      </c>
      <c r="L7" s="189" t="n">
        <v>-0.09</v>
      </c>
      <c r="M7" s="189" t="n">
        <v>0.02</v>
      </c>
      <c r="N7" s="148"/>
      <c r="O7" s="148" t="n">
        <f aca="false">8000*'1-10 vols'!B7</f>
        <v>248000</v>
      </c>
      <c r="P7" s="190" t="n">
        <v>-0.2289</v>
      </c>
      <c r="Q7" s="190" t="n">
        <v>0.1089</v>
      </c>
    </row>
    <row r="8" customFormat="false" ht="12.75" hidden="false" customHeight="false" outlineLevel="0" collapsed="false">
      <c r="A8" s="146" t="n">
        <v>36404</v>
      </c>
      <c r="B8" s="147" t="n">
        <v>30</v>
      </c>
      <c r="C8" s="187" t="n">
        <f aca="false">20000*B8</f>
        <v>600000</v>
      </c>
      <c r="D8" s="148" t="n">
        <f aca="false">8000*B8</f>
        <v>240000</v>
      </c>
      <c r="E8" s="187" t="n">
        <f aca="false">10000*B8</f>
        <v>300000</v>
      </c>
      <c r="F8" s="187"/>
      <c r="H8" s="188" t="n">
        <f aca="false">SUM(K8:O8)</f>
        <v>1139999.93</v>
      </c>
      <c r="I8" s="12" t="n">
        <f aca="false">H8/B8</f>
        <v>37999.9976666667</v>
      </c>
      <c r="K8" s="148" t="n">
        <f aca="false">30000*'1-10 vols'!B8</f>
        <v>900000</v>
      </c>
      <c r="L8" s="189" t="n">
        <v>-0.09</v>
      </c>
      <c r="M8" s="189" t="n">
        <v>0.02</v>
      </c>
      <c r="N8" s="148"/>
      <c r="O8" s="148" t="n">
        <f aca="false">8000*'1-10 vols'!B8</f>
        <v>240000</v>
      </c>
      <c r="P8" s="190" t="n">
        <v>-0.2289</v>
      </c>
      <c r="Q8" s="190" t="n">
        <v>0.1089</v>
      </c>
    </row>
    <row r="9" customFormat="false" ht="12.75" hidden="false" customHeight="false" outlineLevel="0" collapsed="false">
      <c r="A9" s="146" t="n">
        <v>36434</v>
      </c>
      <c r="B9" s="147" t="n">
        <v>31</v>
      </c>
      <c r="C9" s="187" t="n">
        <f aca="false">20000*B9</f>
        <v>620000</v>
      </c>
      <c r="D9" s="148" t="n">
        <f aca="false">8000*B9</f>
        <v>248000</v>
      </c>
      <c r="E9" s="187" t="n">
        <f aca="false">10000*B9</f>
        <v>310000</v>
      </c>
      <c r="F9" s="187"/>
      <c r="H9" s="188" t="n">
        <f aca="false">SUM(K9:O9)</f>
        <v>1177999.93</v>
      </c>
      <c r="I9" s="12" t="n">
        <f aca="false">H9/B9</f>
        <v>37999.9977419355</v>
      </c>
      <c r="K9" s="148" t="n">
        <f aca="false">30000*'1-10 vols'!B9</f>
        <v>930000</v>
      </c>
      <c r="L9" s="189" t="n">
        <v>-0.09</v>
      </c>
      <c r="M9" s="189" t="n">
        <v>0.02</v>
      </c>
      <c r="N9" s="148"/>
      <c r="O9" s="148" t="n">
        <f aca="false">8000*'1-10 vols'!B9</f>
        <v>248000</v>
      </c>
      <c r="P9" s="190" t="n">
        <v>-0.2289</v>
      </c>
      <c r="Q9" s="190" t="n">
        <v>0.1089</v>
      </c>
    </row>
    <row r="10" customFormat="false" ht="12.75" hidden="false" customHeight="false" outlineLevel="0" collapsed="false">
      <c r="A10" s="146" t="n">
        <v>36465</v>
      </c>
      <c r="B10" s="147" t="n">
        <v>30</v>
      </c>
      <c r="C10" s="187" t="n">
        <f aca="false">20000*B10</f>
        <v>600000</v>
      </c>
      <c r="D10" s="148" t="n">
        <f aca="false">8000*B10</f>
        <v>240000</v>
      </c>
      <c r="E10" s="187" t="n">
        <f aca="false">10000*B10</f>
        <v>300000</v>
      </c>
      <c r="F10" s="187"/>
      <c r="H10" s="188" t="n">
        <f aca="false">SUM(K10:O10)</f>
        <v>1139999.93</v>
      </c>
      <c r="I10" s="12" t="n">
        <f aca="false">H10/B10</f>
        <v>37999.9976666667</v>
      </c>
      <c r="K10" s="148" t="n">
        <f aca="false">30000*'1-10 vols'!B10</f>
        <v>900000</v>
      </c>
      <c r="L10" s="189" t="n">
        <v>-0.09</v>
      </c>
      <c r="M10" s="189" t="n">
        <v>0.02</v>
      </c>
      <c r="N10" s="148"/>
      <c r="O10" s="148" t="n">
        <f aca="false">8000*'1-10 vols'!B10</f>
        <v>240000</v>
      </c>
      <c r="P10" s="190" t="n">
        <v>-0.2289</v>
      </c>
      <c r="Q10" s="190" t="n">
        <v>0.1089</v>
      </c>
    </row>
    <row r="11" customFormat="false" ht="12.75" hidden="false" customHeight="false" outlineLevel="0" collapsed="false">
      <c r="A11" s="146" t="n">
        <v>36495</v>
      </c>
      <c r="B11" s="147" t="n">
        <v>31</v>
      </c>
      <c r="C11" s="187" t="n">
        <f aca="false">20000*B11</f>
        <v>620000</v>
      </c>
      <c r="D11" s="148" t="n">
        <f aca="false">8000*B11</f>
        <v>248000</v>
      </c>
      <c r="E11" s="187" t="n">
        <f aca="false">10000*B11</f>
        <v>310000</v>
      </c>
      <c r="F11" s="187"/>
      <c r="H11" s="188" t="n">
        <f aca="false">SUM(K11:O11)</f>
        <v>1177999.93</v>
      </c>
      <c r="I11" s="12" t="n">
        <f aca="false">H11/B11</f>
        <v>37999.9977419355</v>
      </c>
      <c r="K11" s="148" t="n">
        <f aca="false">30000*'1-10 vols'!B11</f>
        <v>930000</v>
      </c>
      <c r="L11" s="189" t="n">
        <v>-0.09</v>
      </c>
      <c r="M11" s="189" t="n">
        <v>0.02</v>
      </c>
      <c r="N11" s="148"/>
      <c r="O11" s="148" t="n">
        <f aca="false">8000*'1-10 vols'!B11</f>
        <v>248000</v>
      </c>
      <c r="P11" s="190" t="n">
        <v>-0.2289</v>
      </c>
      <c r="Q11" s="190" t="n">
        <v>0.1089</v>
      </c>
    </row>
    <row r="12" customFormat="false" ht="12.75" hidden="false" customHeight="false" outlineLevel="0" collapsed="false">
      <c r="A12" s="146" t="n">
        <v>36526</v>
      </c>
      <c r="B12" s="147" t="n">
        <v>31</v>
      </c>
      <c r="C12" s="187" t="n">
        <f aca="false">20000*B12</f>
        <v>620000</v>
      </c>
      <c r="D12" s="148" t="n">
        <f aca="false">8000*B12</f>
        <v>248000</v>
      </c>
      <c r="E12" s="187" t="n">
        <f aca="false">10000*B12</f>
        <v>310000</v>
      </c>
      <c r="F12" s="187"/>
      <c r="H12" s="188" t="n">
        <f aca="false">SUM(K12:O12)</f>
        <v>1177999.93</v>
      </c>
      <c r="I12" s="12" t="n">
        <f aca="false">H12/B12</f>
        <v>37999.9977419355</v>
      </c>
      <c r="K12" s="148" t="n">
        <f aca="false">30000*'1-10 vols'!B12</f>
        <v>930000</v>
      </c>
      <c r="L12" s="189" t="n">
        <v>-0.09</v>
      </c>
      <c r="M12" s="189" t="n">
        <v>0.02</v>
      </c>
      <c r="N12" s="148"/>
      <c r="O12" s="148" t="n">
        <f aca="false">8000*'1-10 vols'!B12</f>
        <v>248000</v>
      </c>
      <c r="P12" s="190" t="n">
        <v>-0.2289</v>
      </c>
      <c r="Q12" s="190" t="n">
        <v>0.1089</v>
      </c>
    </row>
    <row r="13" customFormat="false" ht="12.75" hidden="false" customHeight="false" outlineLevel="0" collapsed="false">
      <c r="A13" s="146" t="n">
        <v>36557</v>
      </c>
      <c r="B13" s="147" t="n">
        <v>29</v>
      </c>
      <c r="C13" s="187" t="n">
        <f aca="false">20000*B13</f>
        <v>580000</v>
      </c>
      <c r="D13" s="148" t="n">
        <f aca="false">8000*B13</f>
        <v>232000</v>
      </c>
      <c r="E13" s="187" t="n">
        <f aca="false">10000*B13</f>
        <v>290000</v>
      </c>
      <c r="F13" s="187"/>
      <c r="H13" s="188" t="n">
        <f aca="false">SUM(K13:O13)</f>
        <v>1101999.93</v>
      </c>
      <c r="I13" s="12" t="n">
        <f aca="false">H13/B13</f>
        <v>37999.9975862069</v>
      </c>
      <c r="K13" s="148" t="n">
        <f aca="false">30000*'1-10 vols'!B13</f>
        <v>870000</v>
      </c>
      <c r="L13" s="189" t="n">
        <v>-0.09</v>
      </c>
      <c r="M13" s="189" t="n">
        <v>0.02</v>
      </c>
      <c r="N13" s="148"/>
      <c r="O13" s="148" t="n">
        <f aca="false">8000*'1-10 vols'!B13</f>
        <v>232000</v>
      </c>
      <c r="P13" s="190" t="n">
        <v>-0.2289</v>
      </c>
      <c r="Q13" s="190" t="n">
        <v>0.1089</v>
      </c>
    </row>
    <row r="14" customFormat="false" ht="12.75" hidden="false" customHeight="false" outlineLevel="0" collapsed="false">
      <c r="A14" s="146" t="n">
        <v>36586</v>
      </c>
      <c r="B14" s="147" t="n">
        <v>31</v>
      </c>
      <c r="C14" s="187" t="n">
        <f aca="false">20000*B14</f>
        <v>620000</v>
      </c>
      <c r="D14" s="148" t="n">
        <f aca="false">8000*B14</f>
        <v>248000</v>
      </c>
      <c r="E14" s="187" t="n">
        <f aca="false">10000*B14</f>
        <v>310000</v>
      </c>
      <c r="F14" s="187"/>
      <c r="H14" s="188" t="n">
        <f aca="false">SUM(K14:O14)</f>
        <v>1177999.93</v>
      </c>
      <c r="I14" s="12" t="n">
        <f aca="false">H14/B14</f>
        <v>37999.9977419355</v>
      </c>
      <c r="K14" s="148" t="n">
        <f aca="false">30000*'1-10 vols'!B14</f>
        <v>930000</v>
      </c>
      <c r="L14" s="189" t="n">
        <v>-0.09</v>
      </c>
      <c r="M14" s="189" t="n">
        <v>0.02</v>
      </c>
      <c r="N14" s="148"/>
      <c r="O14" s="148" t="n">
        <f aca="false">8000*'1-10 vols'!B14</f>
        <v>248000</v>
      </c>
      <c r="P14" s="190" t="n">
        <v>-0.2289</v>
      </c>
      <c r="Q14" s="190" t="n">
        <v>0.1089</v>
      </c>
    </row>
    <row r="15" customFormat="false" ht="12.75" hidden="false" customHeight="false" outlineLevel="0" collapsed="false">
      <c r="A15" s="146" t="n">
        <v>36617</v>
      </c>
      <c r="B15" s="147" t="n">
        <v>30</v>
      </c>
      <c r="C15" s="187" t="n">
        <f aca="false">20000*B15</f>
        <v>600000</v>
      </c>
      <c r="D15" s="148" t="n">
        <f aca="false">8000*B15</f>
        <v>240000</v>
      </c>
      <c r="E15" s="187" t="n">
        <f aca="false">10000*B15</f>
        <v>300000</v>
      </c>
      <c r="F15" s="187"/>
      <c r="H15" s="188" t="n">
        <f aca="false">SUM(K15:O15)</f>
        <v>1139999.93</v>
      </c>
      <c r="I15" s="12" t="n">
        <f aca="false">H15/B15</f>
        <v>37999.9976666667</v>
      </c>
      <c r="K15" s="148" t="n">
        <f aca="false">30000*'1-10 vols'!B15</f>
        <v>900000</v>
      </c>
      <c r="L15" s="189" t="n">
        <v>-0.09</v>
      </c>
      <c r="M15" s="189" t="n">
        <v>0.02</v>
      </c>
      <c r="N15" s="148"/>
      <c r="O15" s="148" t="n">
        <f aca="false">8000*'1-10 vols'!B15</f>
        <v>240000</v>
      </c>
      <c r="P15" s="190" t="n">
        <v>-0.2289</v>
      </c>
      <c r="Q15" s="190" t="n">
        <v>0.1089</v>
      </c>
    </row>
    <row r="16" customFormat="false" ht="12.75" hidden="false" customHeight="false" outlineLevel="0" collapsed="false">
      <c r="A16" s="146" t="n">
        <v>36647</v>
      </c>
      <c r="B16" s="147" t="n">
        <v>31</v>
      </c>
      <c r="C16" s="187" t="n">
        <f aca="false">20000*B16</f>
        <v>620000</v>
      </c>
      <c r="D16" s="148" t="n">
        <f aca="false">8000*B16</f>
        <v>248000</v>
      </c>
      <c r="E16" s="187" t="n">
        <f aca="false">10000*B16</f>
        <v>310000</v>
      </c>
      <c r="F16" s="187"/>
      <c r="H16" s="188" t="n">
        <f aca="false">SUM(K16:O16)</f>
        <v>1177999.93</v>
      </c>
      <c r="I16" s="12" t="n">
        <f aca="false">H16/B16</f>
        <v>37999.9977419355</v>
      </c>
      <c r="K16" s="148" t="n">
        <f aca="false">30000*'1-10 vols'!B16</f>
        <v>930000</v>
      </c>
      <c r="L16" s="189" t="n">
        <v>-0.09</v>
      </c>
      <c r="M16" s="189" t="n">
        <v>0.02</v>
      </c>
      <c r="N16" s="148"/>
      <c r="O16" s="148" t="n">
        <f aca="false">8000*'1-10 vols'!B16</f>
        <v>248000</v>
      </c>
      <c r="P16" s="190" t="n">
        <v>-0.2289</v>
      </c>
      <c r="Q16" s="190" t="n">
        <v>0.1089</v>
      </c>
    </row>
    <row r="17" customFormat="false" ht="12.75" hidden="false" customHeight="false" outlineLevel="0" collapsed="false">
      <c r="A17" s="146" t="n">
        <v>36678</v>
      </c>
      <c r="B17" s="147" t="n">
        <v>30</v>
      </c>
      <c r="C17" s="187" t="n">
        <f aca="false">20000*B17</f>
        <v>600000</v>
      </c>
      <c r="D17" s="148" t="n">
        <f aca="false">8000*B17</f>
        <v>240000</v>
      </c>
      <c r="E17" s="187" t="n">
        <f aca="false">10000*B17</f>
        <v>300000</v>
      </c>
      <c r="F17" s="187"/>
      <c r="H17" s="188" t="n">
        <f aca="false">SUM(K17:O17)</f>
        <v>1139999.93</v>
      </c>
      <c r="I17" s="12" t="n">
        <f aca="false">H17/B17</f>
        <v>37999.9976666667</v>
      </c>
      <c r="K17" s="148" t="n">
        <f aca="false">30000*'1-10 vols'!B17</f>
        <v>900000</v>
      </c>
      <c r="L17" s="189" t="n">
        <v>-0.09</v>
      </c>
      <c r="M17" s="189" t="n">
        <v>0.02</v>
      </c>
      <c r="N17" s="148"/>
      <c r="O17" s="148" t="n">
        <f aca="false">8000*'1-10 vols'!B17</f>
        <v>240000</v>
      </c>
      <c r="P17" s="190" t="n">
        <v>-0.2289</v>
      </c>
      <c r="Q17" s="190" t="n">
        <v>0.1089</v>
      </c>
    </row>
    <row r="18" customFormat="false" ht="12.75" hidden="false" customHeight="false" outlineLevel="0" collapsed="false">
      <c r="A18" s="146" t="n">
        <v>36708</v>
      </c>
      <c r="B18" s="147" t="n">
        <v>31</v>
      </c>
      <c r="C18" s="187" t="n">
        <f aca="false">20000*B18</f>
        <v>620000</v>
      </c>
      <c r="D18" s="148" t="n">
        <f aca="false">8000*B18</f>
        <v>248000</v>
      </c>
      <c r="E18" s="187" t="n">
        <f aca="false">10000*B18</f>
        <v>310000</v>
      </c>
      <c r="F18" s="187"/>
      <c r="H18" s="188" t="n">
        <f aca="false">SUM(K18:O18)</f>
        <v>1177999.93</v>
      </c>
      <c r="I18" s="12" t="n">
        <f aca="false">H18/B18</f>
        <v>37999.9977419355</v>
      </c>
      <c r="K18" s="148" t="n">
        <f aca="false">30000*'1-10 vols'!B18</f>
        <v>930000</v>
      </c>
      <c r="L18" s="189" t="n">
        <v>-0.09</v>
      </c>
      <c r="M18" s="189" t="n">
        <v>0.02</v>
      </c>
      <c r="N18" s="148"/>
      <c r="O18" s="148" t="n">
        <f aca="false">8000*'1-10 vols'!B18</f>
        <v>248000</v>
      </c>
      <c r="P18" s="190" t="n">
        <v>-0.2289</v>
      </c>
      <c r="Q18" s="190" t="n">
        <v>0.1089</v>
      </c>
    </row>
    <row r="19" customFormat="false" ht="12.75" hidden="false" customHeight="false" outlineLevel="0" collapsed="false">
      <c r="A19" s="146" t="n">
        <v>36739</v>
      </c>
      <c r="B19" s="147" t="n">
        <v>31</v>
      </c>
      <c r="C19" s="187" t="n">
        <f aca="false">20000*B19</f>
        <v>620000</v>
      </c>
      <c r="D19" s="148" t="n">
        <f aca="false">8000*B19</f>
        <v>248000</v>
      </c>
      <c r="E19" s="187" t="n">
        <f aca="false">10000*B19</f>
        <v>310000</v>
      </c>
      <c r="F19" s="187"/>
      <c r="H19" s="188" t="n">
        <f aca="false">SUM(K19:O19)</f>
        <v>1177999.93</v>
      </c>
      <c r="I19" s="12" t="n">
        <f aca="false">H19/B19</f>
        <v>37999.9977419355</v>
      </c>
      <c r="K19" s="148" t="n">
        <f aca="false">30000*'1-10 vols'!B19</f>
        <v>930000</v>
      </c>
      <c r="L19" s="189" t="n">
        <v>-0.09</v>
      </c>
      <c r="M19" s="189" t="n">
        <v>0.02</v>
      </c>
      <c r="N19" s="148"/>
      <c r="O19" s="148" t="n">
        <f aca="false">8000*'1-10 vols'!B19</f>
        <v>248000</v>
      </c>
      <c r="P19" s="190" t="n">
        <v>-0.2289</v>
      </c>
      <c r="Q19" s="190" t="n">
        <v>0.1089</v>
      </c>
    </row>
    <row r="20" customFormat="false" ht="12.75" hidden="false" customHeight="false" outlineLevel="0" collapsed="false">
      <c r="A20" s="146" t="n">
        <v>36770</v>
      </c>
      <c r="B20" s="147" t="n">
        <v>30</v>
      </c>
      <c r="C20" s="187" t="n">
        <f aca="false">20000*B20</f>
        <v>600000</v>
      </c>
      <c r="D20" s="148" t="n">
        <f aca="false">8000*B20</f>
        <v>240000</v>
      </c>
      <c r="E20" s="187" t="n">
        <f aca="false">10000*B20</f>
        <v>300000</v>
      </c>
      <c r="F20" s="187"/>
      <c r="H20" s="188" t="n">
        <f aca="false">SUM(K20:O20)</f>
        <v>1139999.93</v>
      </c>
      <c r="I20" s="12" t="n">
        <f aca="false">H20/B20</f>
        <v>37999.9976666667</v>
      </c>
      <c r="K20" s="148" t="n">
        <f aca="false">30000*'1-10 vols'!B20</f>
        <v>900000</v>
      </c>
      <c r="L20" s="189" t="n">
        <v>-0.09</v>
      </c>
      <c r="M20" s="189" t="n">
        <v>0.02</v>
      </c>
      <c r="N20" s="148"/>
      <c r="O20" s="148" t="n">
        <f aca="false">8000*'1-10 vols'!B20</f>
        <v>240000</v>
      </c>
      <c r="P20" s="190" t="n">
        <v>-0.2289</v>
      </c>
      <c r="Q20" s="190" t="n">
        <v>0.1089</v>
      </c>
    </row>
    <row r="21" customFormat="false" ht="12.75" hidden="false" customHeight="false" outlineLevel="0" collapsed="false">
      <c r="A21" s="146" t="n">
        <v>36800</v>
      </c>
      <c r="B21" s="147" t="n">
        <v>31</v>
      </c>
      <c r="C21" s="187" t="n">
        <f aca="false">20000*B21</f>
        <v>620000</v>
      </c>
      <c r="D21" s="148" t="n">
        <f aca="false">8000*B21</f>
        <v>248000</v>
      </c>
      <c r="E21" s="187" t="n">
        <f aca="false">10000*B21</f>
        <v>310000</v>
      </c>
      <c r="F21" s="187"/>
      <c r="H21" s="188" t="n">
        <f aca="false">SUM(K21:O21)</f>
        <v>1177999.93</v>
      </c>
      <c r="I21" s="12" t="n">
        <f aca="false">H21/B21</f>
        <v>37999.9977419355</v>
      </c>
      <c r="K21" s="148" t="n">
        <f aca="false">30000*'1-10 vols'!B21</f>
        <v>930000</v>
      </c>
      <c r="L21" s="189" t="n">
        <v>-0.09</v>
      </c>
      <c r="M21" s="189" t="n">
        <v>0.02</v>
      </c>
      <c r="N21" s="148"/>
      <c r="O21" s="148" t="n">
        <f aca="false">8000*'1-10 vols'!B21</f>
        <v>248000</v>
      </c>
      <c r="P21" s="190" t="n">
        <v>-0.2289</v>
      </c>
      <c r="Q21" s="190" t="n">
        <v>0.1089</v>
      </c>
    </row>
    <row r="22" customFormat="false" ht="12.75" hidden="false" customHeight="false" outlineLevel="0" collapsed="false">
      <c r="A22" s="146" t="n">
        <v>36831</v>
      </c>
      <c r="B22" s="147" t="n">
        <v>30</v>
      </c>
      <c r="C22" s="187" t="n">
        <f aca="false">20000*B22</f>
        <v>600000</v>
      </c>
      <c r="D22" s="148" t="n">
        <f aca="false">8000*B22</f>
        <v>240000</v>
      </c>
      <c r="E22" s="187" t="n">
        <f aca="false">10000*B22</f>
        <v>300000</v>
      </c>
      <c r="F22" s="187"/>
      <c r="H22" s="188" t="n">
        <f aca="false">SUM(K22:O22)</f>
        <v>1139999.93</v>
      </c>
      <c r="I22" s="12" t="n">
        <f aca="false">H22/B22</f>
        <v>37999.9976666667</v>
      </c>
      <c r="K22" s="148" t="n">
        <f aca="false">30000*'1-10 vols'!B22</f>
        <v>900000</v>
      </c>
      <c r="L22" s="189" t="n">
        <v>-0.09</v>
      </c>
      <c r="M22" s="189" t="n">
        <v>0.02</v>
      </c>
      <c r="N22" s="148"/>
      <c r="O22" s="148" t="n">
        <f aca="false">8000*'1-10 vols'!B22</f>
        <v>240000</v>
      </c>
      <c r="P22" s="190" t="n">
        <v>-0.2289</v>
      </c>
      <c r="Q22" s="190" t="n">
        <v>0.1089</v>
      </c>
    </row>
    <row r="23" customFormat="false" ht="12.75" hidden="false" customHeight="false" outlineLevel="0" collapsed="false">
      <c r="A23" s="146" t="n">
        <v>36861</v>
      </c>
      <c r="B23" s="147" t="n">
        <v>31</v>
      </c>
      <c r="C23" s="187" t="n">
        <f aca="false">20000*B23</f>
        <v>620000</v>
      </c>
      <c r="D23" s="148" t="n">
        <f aca="false">8000*B23</f>
        <v>248000</v>
      </c>
      <c r="E23" s="187" t="n">
        <f aca="false">10000*B23</f>
        <v>310000</v>
      </c>
      <c r="F23" s="187"/>
      <c r="H23" s="188" t="n">
        <f aca="false">SUM(K23:O23)</f>
        <v>1177999.93</v>
      </c>
      <c r="I23" s="12" t="n">
        <f aca="false">H23/B23</f>
        <v>37999.9977419355</v>
      </c>
      <c r="K23" s="148" t="n">
        <f aca="false">30000*'1-10 vols'!B23</f>
        <v>930000</v>
      </c>
      <c r="L23" s="189" t="n">
        <v>-0.09</v>
      </c>
      <c r="M23" s="189" t="n">
        <v>0.02</v>
      </c>
      <c r="N23" s="148"/>
      <c r="O23" s="148" t="n">
        <f aca="false">8000*'1-10 vols'!B23</f>
        <v>248000</v>
      </c>
      <c r="P23" s="190" t="n">
        <v>-0.2289</v>
      </c>
      <c r="Q23" s="190" t="n">
        <v>0.1089</v>
      </c>
    </row>
    <row r="24" customFormat="false" ht="12.75" hidden="false" customHeight="false" outlineLevel="0" collapsed="false">
      <c r="A24" s="146" t="n">
        <v>36892</v>
      </c>
      <c r="B24" s="147" t="n">
        <v>31</v>
      </c>
      <c r="C24" s="187" t="n">
        <f aca="false">20000*B24</f>
        <v>620000</v>
      </c>
      <c r="D24" s="148" t="n">
        <f aca="false">8000*B24</f>
        <v>248000</v>
      </c>
      <c r="E24" s="187" t="n">
        <f aca="false">10000*B24</f>
        <v>310000</v>
      </c>
      <c r="F24" s="187"/>
      <c r="H24" s="188" t="n">
        <f aca="false">SUM(K24:O24)</f>
        <v>1177999.93</v>
      </c>
      <c r="I24" s="12" t="n">
        <f aca="false">H24/B24</f>
        <v>37999.9977419355</v>
      </c>
      <c r="K24" s="148" t="n">
        <f aca="false">30000*'1-10 vols'!B24</f>
        <v>930000</v>
      </c>
      <c r="L24" s="189" t="n">
        <v>-0.09</v>
      </c>
      <c r="M24" s="189" t="n">
        <v>0.02</v>
      </c>
      <c r="N24" s="148"/>
      <c r="O24" s="148" t="n">
        <f aca="false">8000*'1-10 vols'!B24</f>
        <v>248000</v>
      </c>
      <c r="P24" s="190" t="n">
        <v>-0.2289</v>
      </c>
      <c r="Q24" s="190" t="n">
        <v>0.1089</v>
      </c>
    </row>
    <row r="25" customFormat="false" ht="12.75" hidden="false" customHeight="false" outlineLevel="0" collapsed="false">
      <c r="A25" s="146" t="n">
        <v>36923</v>
      </c>
      <c r="B25" s="147" t="n">
        <v>28</v>
      </c>
      <c r="C25" s="187" t="n">
        <f aca="false">20000*B25</f>
        <v>560000</v>
      </c>
      <c r="D25" s="148" t="n">
        <f aca="false">8000*B25</f>
        <v>224000</v>
      </c>
      <c r="E25" s="187" t="n">
        <f aca="false">10000*B25</f>
        <v>280000</v>
      </c>
      <c r="F25" s="187"/>
      <c r="H25" s="188" t="n">
        <f aca="false">SUM(K25:O25)</f>
        <v>1063999.93</v>
      </c>
      <c r="I25" s="12" t="n">
        <f aca="false">H25/B25</f>
        <v>37999.9975</v>
      </c>
      <c r="K25" s="148" t="n">
        <f aca="false">30000*'1-10 vols'!B25</f>
        <v>840000</v>
      </c>
      <c r="L25" s="189" t="n">
        <v>-0.09</v>
      </c>
      <c r="M25" s="189" t="n">
        <v>0.02</v>
      </c>
      <c r="N25" s="148"/>
      <c r="O25" s="148" t="n">
        <f aca="false">8000*'1-10 vols'!B25</f>
        <v>224000</v>
      </c>
      <c r="P25" s="190" t="n">
        <v>-0.2289</v>
      </c>
      <c r="Q25" s="190" t="n">
        <v>0.1089</v>
      </c>
    </row>
    <row r="26" customFormat="false" ht="12.75" hidden="false" customHeight="false" outlineLevel="0" collapsed="false">
      <c r="A26" s="146" t="n">
        <v>36951</v>
      </c>
      <c r="B26" s="147" t="n">
        <v>31</v>
      </c>
      <c r="C26" s="187" t="n">
        <f aca="false">20000*B26</f>
        <v>620000</v>
      </c>
      <c r="D26" s="148" t="n">
        <f aca="false">8000*B26</f>
        <v>248000</v>
      </c>
      <c r="E26" s="187" t="n">
        <f aca="false">10000*B26</f>
        <v>310000</v>
      </c>
      <c r="F26" s="187"/>
      <c r="H26" s="188" t="n">
        <f aca="false">SUM(K26:O26)</f>
        <v>1177999.93</v>
      </c>
      <c r="I26" s="12" t="n">
        <f aca="false">H26/B26</f>
        <v>37999.9977419355</v>
      </c>
      <c r="K26" s="148" t="n">
        <f aca="false">30000*'1-10 vols'!B26</f>
        <v>930000</v>
      </c>
      <c r="L26" s="189" t="n">
        <v>-0.09</v>
      </c>
      <c r="M26" s="189" t="n">
        <v>0.02</v>
      </c>
      <c r="N26" s="148"/>
      <c r="O26" s="148" t="n">
        <f aca="false">8000*'1-10 vols'!B26</f>
        <v>248000</v>
      </c>
      <c r="P26" s="190" t="n">
        <v>-0.2289</v>
      </c>
      <c r="Q26" s="190" t="n">
        <v>0.1089</v>
      </c>
    </row>
    <row r="27" customFormat="false" ht="12.75" hidden="false" customHeight="false" outlineLevel="0" collapsed="false">
      <c r="A27" s="146" t="n">
        <v>36982</v>
      </c>
      <c r="B27" s="147" t="n">
        <v>30</v>
      </c>
      <c r="C27" s="187" t="n">
        <f aca="false">20000*B27</f>
        <v>600000</v>
      </c>
      <c r="D27" s="148" t="n">
        <f aca="false">8000*B27</f>
        <v>240000</v>
      </c>
      <c r="E27" s="187" t="n">
        <f aca="false">10000*B27</f>
        <v>300000</v>
      </c>
      <c r="F27" s="187"/>
      <c r="H27" s="188" t="n">
        <f aca="false">SUM(K27:O27)</f>
        <v>1139999.93</v>
      </c>
      <c r="I27" s="12" t="n">
        <f aca="false">H27/B27</f>
        <v>37999.9976666667</v>
      </c>
      <c r="K27" s="148" t="n">
        <f aca="false">30000*'1-10 vols'!B27</f>
        <v>900000</v>
      </c>
      <c r="L27" s="189" t="n">
        <v>-0.09</v>
      </c>
      <c r="M27" s="189" t="n">
        <v>0.02</v>
      </c>
      <c r="N27" s="148"/>
      <c r="O27" s="148" t="n">
        <f aca="false">8000*'1-10 vols'!B27</f>
        <v>240000</v>
      </c>
      <c r="P27" s="190" t="n">
        <v>-0.2289</v>
      </c>
      <c r="Q27" s="190" t="n">
        <v>0.1089</v>
      </c>
    </row>
    <row r="28" customFormat="false" ht="12.75" hidden="false" customHeight="false" outlineLevel="0" collapsed="false">
      <c r="A28" s="146" t="n">
        <v>37012</v>
      </c>
      <c r="B28" s="147" t="n">
        <v>31</v>
      </c>
      <c r="C28" s="187" t="n">
        <f aca="false">20000*B28</f>
        <v>620000</v>
      </c>
      <c r="D28" s="148" t="n">
        <f aca="false">8000*B28</f>
        <v>248000</v>
      </c>
      <c r="E28" s="187" t="n">
        <f aca="false">10000*B28</f>
        <v>310000</v>
      </c>
      <c r="F28" s="187"/>
      <c r="H28" s="188" t="n">
        <f aca="false">SUM(K28:O28)</f>
        <v>1177999.93</v>
      </c>
      <c r="I28" s="12" t="n">
        <f aca="false">H28/B28</f>
        <v>37999.9977419355</v>
      </c>
      <c r="K28" s="148" t="n">
        <f aca="false">30000*'1-10 vols'!B28</f>
        <v>930000</v>
      </c>
      <c r="L28" s="189" t="n">
        <v>-0.09</v>
      </c>
      <c r="M28" s="189" t="n">
        <v>0.02</v>
      </c>
      <c r="N28" s="148"/>
      <c r="O28" s="148" t="n">
        <f aca="false">8000*'1-10 vols'!B28</f>
        <v>248000</v>
      </c>
      <c r="P28" s="190" t="n">
        <v>-0.2289</v>
      </c>
      <c r="Q28" s="190" t="n">
        <v>0.1089</v>
      </c>
    </row>
    <row r="29" customFormat="false" ht="12.75" hidden="false" customHeight="false" outlineLevel="0" collapsed="false">
      <c r="A29" s="146" t="n">
        <v>37043</v>
      </c>
      <c r="B29" s="147" t="n">
        <v>30</v>
      </c>
      <c r="C29" s="187" t="n">
        <f aca="false">20000*B29</f>
        <v>600000</v>
      </c>
      <c r="D29" s="148" t="n">
        <f aca="false">8000*B29</f>
        <v>240000</v>
      </c>
      <c r="E29" s="187" t="n">
        <f aca="false">10000*B29</f>
        <v>300000</v>
      </c>
      <c r="F29" s="187"/>
      <c r="H29" s="188" t="n">
        <f aca="false">SUM(K29:O29)</f>
        <v>1139999.93</v>
      </c>
      <c r="I29" s="12" t="n">
        <f aca="false">H29/B29</f>
        <v>37999.9976666667</v>
      </c>
      <c r="K29" s="148" t="n">
        <f aca="false">30000*'1-10 vols'!B29</f>
        <v>900000</v>
      </c>
      <c r="L29" s="189" t="n">
        <v>-0.09</v>
      </c>
      <c r="M29" s="189" t="n">
        <v>0.02</v>
      </c>
      <c r="N29" s="148"/>
      <c r="O29" s="148" t="n">
        <f aca="false">8000*'1-10 vols'!B29</f>
        <v>240000</v>
      </c>
      <c r="P29" s="190" t="n">
        <v>-0.2289</v>
      </c>
      <c r="Q29" s="190" t="n">
        <v>0.1089</v>
      </c>
    </row>
    <row r="30" customFormat="false" ht="12.75" hidden="false" customHeight="false" outlineLevel="0" collapsed="false">
      <c r="A30" s="146" t="n">
        <v>37073</v>
      </c>
      <c r="B30" s="147" t="n">
        <v>31</v>
      </c>
      <c r="C30" s="187" t="n">
        <f aca="false">20000*B30</f>
        <v>620000</v>
      </c>
      <c r="D30" s="148" t="n">
        <f aca="false">8000*B30</f>
        <v>248000</v>
      </c>
      <c r="E30" s="187" t="n">
        <f aca="false">10000*B30</f>
        <v>310000</v>
      </c>
      <c r="F30" s="187"/>
      <c r="H30" s="188" t="n">
        <f aca="false">SUM(K30:O30)</f>
        <v>1177999.93</v>
      </c>
      <c r="I30" s="12" t="n">
        <f aca="false">H30/B30</f>
        <v>37999.9977419355</v>
      </c>
      <c r="K30" s="148" t="n">
        <f aca="false">30000*'1-10 vols'!B30</f>
        <v>930000</v>
      </c>
      <c r="L30" s="189" t="n">
        <v>-0.09</v>
      </c>
      <c r="M30" s="189" t="n">
        <v>0.02</v>
      </c>
      <c r="N30" s="148"/>
      <c r="O30" s="148" t="n">
        <f aca="false">8000*'1-10 vols'!B30</f>
        <v>248000</v>
      </c>
      <c r="P30" s="190" t="n">
        <v>-0.2289</v>
      </c>
      <c r="Q30" s="190" t="n">
        <v>0.1089</v>
      </c>
    </row>
    <row r="31" customFormat="false" ht="12.75" hidden="false" customHeight="false" outlineLevel="0" collapsed="false">
      <c r="A31" s="146" t="n">
        <v>37104</v>
      </c>
      <c r="B31" s="147" t="n">
        <v>31</v>
      </c>
      <c r="C31" s="187" t="n">
        <f aca="false">20000*B31</f>
        <v>620000</v>
      </c>
      <c r="D31" s="148" t="n">
        <f aca="false">8000*B31</f>
        <v>248000</v>
      </c>
      <c r="E31" s="187" t="n">
        <f aca="false">10000*B31</f>
        <v>310000</v>
      </c>
      <c r="F31" s="187"/>
      <c r="H31" s="188" t="n">
        <f aca="false">SUM(K31:O31)</f>
        <v>1177999.93</v>
      </c>
      <c r="I31" s="12" t="n">
        <f aca="false">H31/B31</f>
        <v>37999.9977419355</v>
      </c>
      <c r="K31" s="148" t="n">
        <f aca="false">30000*'1-10 vols'!B31</f>
        <v>930000</v>
      </c>
      <c r="L31" s="189" t="n">
        <v>-0.09</v>
      </c>
      <c r="M31" s="189" t="n">
        <v>0.02</v>
      </c>
      <c r="N31" s="148"/>
      <c r="O31" s="148" t="n">
        <f aca="false">8000*'1-10 vols'!B31</f>
        <v>248000</v>
      </c>
      <c r="P31" s="190" t="n">
        <v>-0.2289</v>
      </c>
      <c r="Q31" s="190" t="n">
        <v>0.1089</v>
      </c>
    </row>
    <row r="32" customFormat="false" ht="12.75" hidden="false" customHeight="false" outlineLevel="0" collapsed="false">
      <c r="A32" s="146" t="n">
        <v>37135</v>
      </c>
      <c r="B32" s="147" t="n">
        <v>30</v>
      </c>
      <c r="C32" s="187" t="n">
        <f aca="false">20000*B32</f>
        <v>600000</v>
      </c>
      <c r="D32" s="148" t="n">
        <f aca="false">8000*B32</f>
        <v>240000</v>
      </c>
      <c r="E32" s="187" t="n">
        <f aca="false">10000*B32</f>
        <v>300000</v>
      </c>
      <c r="F32" s="187"/>
      <c r="H32" s="188" t="n">
        <f aca="false">SUM(K32:O32)</f>
        <v>1139999.93</v>
      </c>
      <c r="I32" s="12" t="n">
        <f aca="false">H32/B32</f>
        <v>37999.9976666667</v>
      </c>
      <c r="K32" s="148" t="n">
        <f aca="false">30000*'1-10 vols'!B32</f>
        <v>900000</v>
      </c>
      <c r="L32" s="189" t="n">
        <v>-0.09</v>
      </c>
      <c r="M32" s="189" t="n">
        <v>0.02</v>
      </c>
      <c r="N32" s="148"/>
      <c r="O32" s="148" t="n">
        <f aca="false">8000*'1-10 vols'!B32</f>
        <v>240000</v>
      </c>
      <c r="P32" s="190" t="n">
        <v>-0.2289</v>
      </c>
      <c r="Q32" s="190" t="n">
        <v>0.1089</v>
      </c>
    </row>
    <row r="33" customFormat="false" ht="12.75" hidden="false" customHeight="false" outlineLevel="0" collapsed="false">
      <c r="A33" s="146" t="n">
        <v>37165</v>
      </c>
      <c r="B33" s="147" t="n">
        <v>31</v>
      </c>
      <c r="C33" s="187" t="n">
        <f aca="false">20000*B33</f>
        <v>620000</v>
      </c>
      <c r="D33" s="148" t="n">
        <f aca="false">8000*B33</f>
        <v>248000</v>
      </c>
      <c r="E33" s="187" t="n">
        <f aca="false">10000*B33</f>
        <v>310000</v>
      </c>
      <c r="F33" s="187"/>
      <c r="H33" s="188" t="n">
        <f aca="false">SUM(K33:O33)</f>
        <v>1177999.93</v>
      </c>
      <c r="I33" s="12" t="n">
        <f aca="false">H33/B33</f>
        <v>37999.9977419355</v>
      </c>
      <c r="K33" s="148" t="n">
        <f aca="false">30000*'1-10 vols'!B33</f>
        <v>930000</v>
      </c>
      <c r="L33" s="189" t="n">
        <v>-0.09</v>
      </c>
      <c r="M33" s="189" t="n">
        <v>0.02</v>
      </c>
      <c r="N33" s="148"/>
      <c r="O33" s="148" t="n">
        <f aca="false">8000*'1-10 vols'!B33</f>
        <v>248000</v>
      </c>
      <c r="P33" s="190" t="n">
        <v>-0.2289</v>
      </c>
      <c r="Q33" s="190" t="n">
        <v>0.1089</v>
      </c>
    </row>
    <row r="34" customFormat="false" ht="12.75" hidden="false" customHeight="false" outlineLevel="0" collapsed="false">
      <c r="A34" s="146" t="n">
        <v>37196</v>
      </c>
      <c r="B34" s="147" t="n">
        <v>30</v>
      </c>
      <c r="C34" s="187" t="n">
        <f aca="false">20000*B34</f>
        <v>600000</v>
      </c>
      <c r="D34" s="148" t="n">
        <f aca="false">8000*B34</f>
        <v>240000</v>
      </c>
      <c r="E34" s="187" t="n">
        <f aca="false">10000*B34</f>
        <v>300000</v>
      </c>
      <c r="F34" s="187"/>
      <c r="H34" s="188" t="n">
        <f aca="false">SUM(K34:O34)</f>
        <v>1139999.93</v>
      </c>
      <c r="I34" s="12" t="n">
        <f aca="false">H34/B34</f>
        <v>37999.9976666667</v>
      </c>
      <c r="K34" s="148" t="n">
        <f aca="false">30000*'1-10 vols'!B34</f>
        <v>900000</v>
      </c>
      <c r="L34" s="189" t="n">
        <v>-0.09</v>
      </c>
      <c r="M34" s="189" t="n">
        <v>0.02</v>
      </c>
      <c r="N34" s="148"/>
      <c r="O34" s="148" t="n">
        <f aca="false">8000*'1-10 vols'!B34</f>
        <v>240000</v>
      </c>
      <c r="P34" s="190" t="n">
        <v>-0.2289</v>
      </c>
      <c r="Q34" s="190" t="n">
        <v>0.1089</v>
      </c>
    </row>
    <row r="35" customFormat="false" ht="12.75" hidden="false" customHeight="false" outlineLevel="0" collapsed="false">
      <c r="A35" s="146" t="n">
        <v>37226</v>
      </c>
      <c r="B35" s="147" t="n">
        <v>31</v>
      </c>
      <c r="C35" s="187" t="n">
        <f aca="false">20000*B35</f>
        <v>620000</v>
      </c>
      <c r="D35" s="148" t="n">
        <f aca="false">8000*B35</f>
        <v>248000</v>
      </c>
      <c r="E35" s="187" t="n">
        <f aca="false">10000*B35</f>
        <v>310000</v>
      </c>
      <c r="F35" s="187"/>
      <c r="H35" s="188" t="n">
        <f aca="false">SUM(K35:O35)</f>
        <v>1177999.93</v>
      </c>
      <c r="I35" s="12" t="n">
        <f aca="false">H35/B35</f>
        <v>37999.9977419355</v>
      </c>
      <c r="K35" s="148" t="n">
        <f aca="false">30000*'1-10 vols'!B35</f>
        <v>930000</v>
      </c>
      <c r="L35" s="189" t="n">
        <v>-0.09</v>
      </c>
      <c r="M35" s="189" t="n">
        <v>0.02</v>
      </c>
      <c r="N35" s="148"/>
      <c r="O35" s="148" t="n">
        <f aca="false">8000*'1-10 vols'!B35</f>
        <v>248000</v>
      </c>
      <c r="P35" s="190" t="n">
        <v>-0.2289</v>
      </c>
      <c r="Q35" s="190" t="n">
        <v>0.1089</v>
      </c>
    </row>
    <row r="36" customFormat="false" ht="12.75" hidden="false" customHeight="false" outlineLevel="0" collapsed="false">
      <c r="A36" s="146" t="n">
        <v>37257</v>
      </c>
      <c r="B36" s="147" t="n">
        <v>31</v>
      </c>
      <c r="C36" s="187" t="n">
        <f aca="false">20000*B36</f>
        <v>620000</v>
      </c>
      <c r="D36" s="148" t="n">
        <f aca="false">8000*B36</f>
        <v>248000</v>
      </c>
      <c r="E36" s="187" t="n">
        <f aca="false">10000*B36</f>
        <v>310000</v>
      </c>
      <c r="F36" s="187"/>
      <c r="H36" s="188" t="n">
        <f aca="false">SUM(K36:O36)</f>
        <v>1177999.93</v>
      </c>
      <c r="I36" s="12" t="n">
        <f aca="false">H36/B36</f>
        <v>37999.9977419355</v>
      </c>
      <c r="K36" s="148" t="n">
        <f aca="false">30000*'1-10 vols'!B36</f>
        <v>930000</v>
      </c>
      <c r="L36" s="189" t="n">
        <v>-0.09</v>
      </c>
      <c r="M36" s="189" t="n">
        <v>0.02</v>
      </c>
      <c r="N36" s="148"/>
      <c r="O36" s="148" t="n">
        <f aca="false">8000*'1-10 vols'!B36</f>
        <v>248000</v>
      </c>
      <c r="P36" s="190" t="n">
        <v>-0.2289</v>
      </c>
      <c r="Q36" s="190" t="n">
        <v>0.1089</v>
      </c>
    </row>
    <row r="37" customFormat="false" ht="12.75" hidden="false" customHeight="false" outlineLevel="0" collapsed="false">
      <c r="A37" s="146" t="n">
        <v>37288</v>
      </c>
      <c r="B37" s="147" t="n">
        <v>28</v>
      </c>
      <c r="C37" s="187" t="n">
        <f aca="false">20000*B37</f>
        <v>560000</v>
      </c>
      <c r="D37" s="148" t="n">
        <f aca="false">8000*B37</f>
        <v>224000</v>
      </c>
      <c r="E37" s="187" t="n">
        <f aca="false">10000*B37</f>
        <v>280000</v>
      </c>
      <c r="F37" s="187"/>
      <c r="H37" s="188" t="n">
        <f aca="false">SUM(K37:O37)</f>
        <v>1063999.93</v>
      </c>
      <c r="I37" s="12" t="n">
        <f aca="false">H37/B37</f>
        <v>37999.9975</v>
      </c>
      <c r="K37" s="148" t="n">
        <f aca="false">30000*'1-10 vols'!B37</f>
        <v>840000</v>
      </c>
      <c r="L37" s="189" t="n">
        <v>-0.09</v>
      </c>
      <c r="M37" s="189" t="n">
        <v>0.02</v>
      </c>
      <c r="N37" s="148"/>
      <c r="O37" s="148" t="n">
        <f aca="false">8000*'1-10 vols'!B37</f>
        <v>224000</v>
      </c>
      <c r="P37" s="190" t="n">
        <v>-0.2289</v>
      </c>
      <c r="Q37" s="190" t="n">
        <v>0.1089</v>
      </c>
    </row>
    <row r="38" customFormat="false" ht="12.75" hidden="false" customHeight="false" outlineLevel="0" collapsed="false">
      <c r="A38" s="146" t="n">
        <v>37316</v>
      </c>
      <c r="B38" s="147" t="n">
        <v>31</v>
      </c>
      <c r="C38" s="187" t="n">
        <f aca="false">20000*B38</f>
        <v>620000</v>
      </c>
      <c r="D38" s="148" t="n">
        <f aca="false">8000*B38</f>
        <v>248000</v>
      </c>
      <c r="E38" s="187" t="n">
        <f aca="false">10000*B38</f>
        <v>310000</v>
      </c>
      <c r="F38" s="187"/>
      <c r="H38" s="188" t="n">
        <f aca="false">SUM(K38:O38)</f>
        <v>1177999.93</v>
      </c>
      <c r="I38" s="12" t="n">
        <f aca="false">H38/B38</f>
        <v>37999.9977419355</v>
      </c>
      <c r="K38" s="148" t="n">
        <f aca="false">30000*'1-10 vols'!B38</f>
        <v>930000</v>
      </c>
      <c r="L38" s="189" t="n">
        <v>-0.09</v>
      </c>
      <c r="M38" s="189" t="n">
        <v>0.02</v>
      </c>
      <c r="N38" s="148"/>
      <c r="O38" s="148" t="n">
        <f aca="false">8000*'1-10 vols'!B38</f>
        <v>248000</v>
      </c>
      <c r="P38" s="190" t="n">
        <v>-0.2289</v>
      </c>
      <c r="Q38" s="190" t="n">
        <v>0.1089</v>
      </c>
    </row>
    <row r="39" customFormat="false" ht="12.75" hidden="false" customHeight="false" outlineLevel="0" collapsed="false">
      <c r="A39" s="146" t="n">
        <v>37347</v>
      </c>
      <c r="B39" s="147" t="n">
        <v>30</v>
      </c>
      <c r="C39" s="187" t="n">
        <f aca="false">20000*B39</f>
        <v>600000</v>
      </c>
      <c r="D39" s="148" t="n">
        <f aca="false">8000*B39</f>
        <v>240000</v>
      </c>
      <c r="E39" s="187" t="n">
        <f aca="false">10000*B39</f>
        <v>300000</v>
      </c>
      <c r="F39" s="187"/>
      <c r="H39" s="188" t="n">
        <f aca="false">SUM(K39:O39)</f>
        <v>1139999.93</v>
      </c>
      <c r="I39" s="12" t="n">
        <f aca="false">H39/B39</f>
        <v>37999.9976666667</v>
      </c>
      <c r="K39" s="148" t="n">
        <f aca="false">30000*'1-10 vols'!B39</f>
        <v>900000</v>
      </c>
      <c r="L39" s="189" t="n">
        <v>-0.09</v>
      </c>
      <c r="M39" s="189" t="n">
        <v>0.02</v>
      </c>
      <c r="N39" s="148"/>
      <c r="O39" s="148" t="n">
        <f aca="false">8000*'1-10 vols'!B39</f>
        <v>240000</v>
      </c>
      <c r="P39" s="190" t="n">
        <v>-0.2289</v>
      </c>
      <c r="Q39" s="190" t="n">
        <v>0.1089</v>
      </c>
    </row>
    <row r="40" customFormat="false" ht="12.75" hidden="false" customHeight="false" outlineLevel="0" collapsed="false">
      <c r="A40" s="146" t="n">
        <v>37377</v>
      </c>
      <c r="B40" s="147" t="n">
        <v>31</v>
      </c>
      <c r="C40" s="187" t="n">
        <f aca="false">20000*B40</f>
        <v>620000</v>
      </c>
      <c r="D40" s="148" t="n">
        <f aca="false">8000*B40</f>
        <v>248000</v>
      </c>
      <c r="E40" s="187" t="n">
        <f aca="false">10000*B40</f>
        <v>310000</v>
      </c>
      <c r="F40" s="187"/>
      <c r="H40" s="188" t="n">
        <f aca="false">SUM(K40:O40)</f>
        <v>1177999.93</v>
      </c>
      <c r="I40" s="12" t="n">
        <f aca="false">H40/B40</f>
        <v>37999.9977419355</v>
      </c>
      <c r="K40" s="148" t="n">
        <f aca="false">30000*'1-10 vols'!B40</f>
        <v>930000</v>
      </c>
      <c r="L40" s="189" t="n">
        <v>-0.09</v>
      </c>
      <c r="M40" s="189" t="n">
        <v>0.02</v>
      </c>
      <c r="N40" s="148"/>
      <c r="O40" s="148" t="n">
        <f aca="false">8000*'1-10 vols'!B40</f>
        <v>248000</v>
      </c>
      <c r="P40" s="190" t="n">
        <v>-0.2289</v>
      </c>
      <c r="Q40" s="190" t="n">
        <v>0.1089</v>
      </c>
    </row>
    <row r="41" customFormat="false" ht="12.75" hidden="false" customHeight="false" outlineLevel="0" collapsed="false">
      <c r="A41" s="146" t="n">
        <v>37408</v>
      </c>
      <c r="B41" s="147" t="n">
        <v>30</v>
      </c>
      <c r="C41" s="187" t="n">
        <f aca="false">20000*B41</f>
        <v>600000</v>
      </c>
      <c r="D41" s="148" t="n">
        <f aca="false">8000*B41</f>
        <v>240000</v>
      </c>
      <c r="E41" s="187" t="n">
        <f aca="false">10000*B41</f>
        <v>300000</v>
      </c>
      <c r="F41" s="187"/>
      <c r="H41" s="188" t="n">
        <f aca="false">SUM(K41:O41)</f>
        <v>1139999.93</v>
      </c>
      <c r="I41" s="12" t="n">
        <f aca="false">H41/B41</f>
        <v>37999.9976666667</v>
      </c>
      <c r="K41" s="148" t="n">
        <f aca="false">30000*'1-10 vols'!B41</f>
        <v>900000</v>
      </c>
      <c r="L41" s="189" t="n">
        <v>-0.09</v>
      </c>
      <c r="M41" s="189" t="n">
        <v>0.02</v>
      </c>
      <c r="N41" s="148"/>
      <c r="O41" s="148" t="n">
        <f aca="false">8000*'1-10 vols'!B41</f>
        <v>240000</v>
      </c>
      <c r="P41" s="190" t="n">
        <v>-0.2289</v>
      </c>
      <c r="Q41" s="190" t="n">
        <v>0.1089</v>
      </c>
    </row>
    <row r="42" customFormat="false" ht="12.75" hidden="false" customHeight="false" outlineLevel="0" collapsed="false">
      <c r="A42" s="146" t="n">
        <v>37438</v>
      </c>
      <c r="B42" s="147" t="n">
        <v>31</v>
      </c>
      <c r="C42" s="187" t="n">
        <f aca="false">20000*B42</f>
        <v>620000</v>
      </c>
      <c r="D42" s="148" t="n">
        <f aca="false">8000*B42</f>
        <v>248000</v>
      </c>
      <c r="E42" s="187" t="n">
        <f aca="false">10000*B42</f>
        <v>310000</v>
      </c>
      <c r="F42" s="187"/>
      <c r="H42" s="188" t="n">
        <f aca="false">SUM(K42:O42)</f>
        <v>1177999.93</v>
      </c>
      <c r="I42" s="12" t="n">
        <f aca="false">H42/B42</f>
        <v>37999.9977419355</v>
      </c>
      <c r="K42" s="148" t="n">
        <f aca="false">30000*'1-10 vols'!B42</f>
        <v>930000</v>
      </c>
      <c r="L42" s="189" t="n">
        <v>-0.09</v>
      </c>
      <c r="M42" s="189" t="n">
        <v>0.02</v>
      </c>
      <c r="N42" s="148"/>
      <c r="O42" s="148" t="n">
        <f aca="false">8000*'1-10 vols'!B42</f>
        <v>248000</v>
      </c>
      <c r="P42" s="190" t="n">
        <v>-0.2289</v>
      </c>
      <c r="Q42" s="190" t="n">
        <v>0.1089</v>
      </c>
    </row>
    <row r="43" customFormat="false" ht="12.75" hidden="false" customHeight="false" outlineLevel="0" collapsed="false">
      <c r="A43" s="146" t="n">
        <v>37469</v>
      </c>
      <c r="B43" s="147" t="n">
        <v>31</v>
      </c>
      <c r="C43" s="187" t="n">
        <f aca="false">20000*B43</f>
        <v>620000</v>
      </c>
      <c r="D43" s="148" t="n">
        <f aca="false">8000*B43</f>
        <v>248000</v>
      </c>
      <c r="E43" s="187" t="n">
        <f aca="false">10000*B43</f>
        <v>310000</v>
      </c>
      <c r="F43" s="187"/>
      <c r="H43" s="188" t="n">
        <f aca="false">SUM(K43:O43)</f>
        <v>1177999.93</v>
      </c>
      <c r="I43" s="12" t="n">
        <f aca="false">H43/B43</f>
        <v>37999.9977419355</v>
      </c>
      <c r="K43" s="148" t="n">
        <f aca="false">30000*'1-10 vols'!B43</f>
        <v>930000</v>
      </c>
      <c r="L43" s="189" t="n">
        <v>-0.09</v>
      </c>
      <c r="M43" s="189" t="n">
        <v>0.02</v>
      </c>
      <c r="N43" s="148"/>
      <c r="O43" s="148" t="n">
        <f aca="false">8000*'1-10 vols'!B43</f>
        <v>248000</v>
      </c>
      <c r="P43" s="190" t="n">
        <v>-0.2289</v>
      </c>
      <c r="Q43" s="190" t="n">
        <v>0.1089</v>
      </c>
    </row>
    <row r="44" customFormat="false" ht="12.75" hidden="false" customHeight="false" outlineLevel="0" collapsed="false">
      <c r="A44" s="146" t="n">
        <v>37500</v>
      </c>
      <c r="B44" s="147" t="n">
        <v>30</v>
      </c>
      <c r="C44" s="187" t="n">
        <f aca="false">20000*B44</f>
        <v>600000</v>
      </c>
      <c r="D44" s="148" t="n">
        <f aca="false">8000*B44</f>
        <v>240000</v>
      </c>
      <c r="E44" s="187" t="n">
        <f aca="false">10000*B44</f>
        <v>300000</v>
      </c>
      <c r="F44" s="187"/>
      <c r="H44" s="188" t="n">
        <f aca="false">SUM(K44:O44)</f>
        <v>1139999.93</v>
      </c>
      <c r="I44" s="12" t="n">
        <f aca="false">H44/B44</f>
        <v>37999.9976666667</v>
      </c>
      <c r="K44" s="148" t="n">
        <f aca="false">30000*'1-10 vols'!B44</f>
        <v>900000</v>
      </c>
      <c r="L44" s="189" t="n">
        <v>-0.09</v>
      </c>
      <c r="M44" s="189" t="n">
        <v>0.02</v>
      </c>
      <c r="N44" s="148"/>
      <c r="O44" s="148" t="n">
        <f aca="false">8000*'1-10 vols'!B44</f>
        <v>240000</v>
      </c>
      <c r="P44" s="190" t="n">
        <v>-0.2289</v>
      </c>
      <c r="Q44" s="190" t="n">
        <v>0.1089</v>
      </c>
    </row>
    <row r="45" customFormat="false" ht="12.75" hidden="false" customHeight="false" outlineLevel="0" collapsed="false">
      <c r="A45" s="146" t="n">
        <v>37530</v>
      </c>
      <c r="B45" s="147" t="n">
        <v>31</v>
      </c>
      <c r="C45" s="187" t="n">
        <f aca="false">20000*B45</f>
        <v>620000</v>
      </c>
      <c r="D45" s="148" t="n">
        <f aca="false">8000*B45</f>
        <v>248000</v>
      </c>
      <c r="E45" s="187" t="n">
        <f aca="false">10000*B45</f>
        <v>310000</v>
      </c>
      <c r="F45" s="187"/>
      <c r="H45" s="188" t="n">
        <f aca="false">SUM(K45:O45)</f>
        <v>1177999.93</v>
      </c>
      <c r="I45" s="12" t="n">
        <f aca="false">H45/B45</f>
        <v>37999.9977419355</v>
      </c>
      <c r="K45" s="148" t="n">
        <f aca="false">30000*'1-10 vols'!B45</f>
        <v>930000</v>
      </c>
      <c r="L45" s="189" t="n">
        <v>-0.09</v>
      </c>
      <c r="M45" s="189" t="n">
        <v>0.02</v>
      </c>
      <c r="N45" s="148"/>
      <c r="O45" s="148" t="n">
        <f aca="false">8000*'1-10 vols'!B45</f>
        <v>248000</v>
      </c>
      <c r="P45" s="190" t="n">
        <v>-0.2289</v>
      </c>
      <c r="Q45" s="190" t="n">
        <v>0.1089</v>
      </c>
    </row>
    <row r="46" customFormat="false" ht="12.75" hidden="false" customHeight="false" outlineLevel="0" collapsed="false">
      <c r="A46" s="146" t="n">
        <v>37561</v>
      </c>
      <c r="B46" s="147" t="n">
        <v>30</v>
      </c>
      <c r="C46" s="187" t="n">
        <f aca="false">20000*B46</f>
        <v>600000</v>
      </c>
      <c r="D46" s="148" t="n">
        <f aca="false">8000*B46</f>
        <v>240000</v>
      </c>
      <c r="E46" s="187" t="n">
        <f aca="false">10000*B46</f>
        <v>300000</v>
      </c>
      <c r="F46" s="187"/>
      <c r="H46" s="188" t="n">
        <f aca="false">SUM(K46:O46)</f>
        <v>1139999.93</v>
      </c>
      <c r="I46" s="12" t="n">
        <f aca="false">H46/B46</f>
        <v>37999.9976666667</v>
      </c>
      <c r="K46" s="148" t="n">
        <f aca="false">30000*'1-10 vols'!B46</f>
        <v>900000</v>
      </c>
      <c r="L46" s="189" t="n">
        <v>-0.09</v>
      </c>
      <c r="M46" s="189" t="n">
        <v>0.02</v>
      </c>
      <c r="N46" s="148"/>
      <c r="O46" s="148" t="n">
        <f aca="false">8000*'1-10 vols'!B46</f>
        <v>240000</v>
      </c>
      <c r="P46" s="190" t="n">
        <v>-0.2289</v>
      </c>
      <c r="Q46" s="190" t="n">
        <v>0.1089</v>
      </c>
    </row>
    <row r="47" customFormat="false" ht="12.75" hidden="false" customHeight="false" outlineLevel="0" collapsed="false">
      <c r="A47" s="146" t="n">
        <v>37591</v>
      </c>
      <c r="B47" s="147" t="n">
        <v>31</v>
      </c>
      <c r="C47" s="187" t="n">
        <f aca="false">20000*B47</f>
        <v>620000</v>
      </c>
      <c r="D47" s="148" t="n">
        <f aca="false">8000*B47</f>
        <v>248000</v>
      </c>
      <c r="E47" s="187" t="n">
        <f aca="false">10000*B47</f>
        <v>310000</v>
      </c>
      <c r="F47" s="187"/>
      <c r="H47" s="188" t="n">
        <f aca="false">SUM(K47:O47)</f>
        <v>1177999.93</v>
      </c>
      <c r="I47" s="12" t="n">
        <f aca="false">H47/B47</f>
        <v>37999.9977419355</v>
      </c>
      <c r="K47" s="148" t="n">
        <f aca="false">30000*'1-10 vols'!B47</f>
        <v>930000</v>
      </c>
      <c r="L47" s="189" t="n">
        <v>-0.09</v>
      </c>
      <c r="M47" s="189" t="n">
        <v>0.02</v>
      </c>
      <c r="N47" s="148"/>
      <c r="O47" s="148" t="n">
        <f aca="false">8000*'1-10 vols'!B47</f>
        <v>248000</v>
      </c>
      <c r="P47" s="190" t="n">
        <v>-0.2289</v>
      </c>
      <c r="Q47" s="190" t="n">
        <v>0.1089</v>
      </c>
    </row>
    <row r="48" customFormat="false" ht="12.75" hidden="false" customHeight="false" outlineLevel="0" collapsed="false">
      <c r="A48" s="146" t="n">
        <v>37622</v>
      </c>
      <c r="B48" s="147" t="n">
        <v>31</v>
      </c>
      <c r="C48" s="187" t="n">
        <f aca="false">20000*B48</f>
        <v>620000</v>
      </c>
      <c r="D48" s="148" t="n">
        <f aca="false">8000*B48</f>
        <v>248000</v>
      </c>
      <c r="E48" s="187" t="n">
        <f aca="false">10000*B48</f>
        <v>310000</v>
      </c>
      <c r="F48" s="187"/>
      <c r="H48" s="188" t="n">
        <f aca="false">SUM(K48:O48)</f>
        <v>1177999.93</v>
      </c>
      <c r="I48" s="12" t="n">
        <f aca="false">H48/B48</f>
        <v>37999.9977419355</v>
      </c>
      <c r="K48" s="148" t="n">
        <f aca="false">30000*'1-10 vols'!B48</f>
        <v>930000</v>
      </c>
      <c r="L48" s="189" t="n">
        <v>-0.09</v>
      </c>
      <c r="M48" s="189" t="n">
        <v>0.02</v>
      </c>
      <c r="N48" s="148"/>
      <c r="O48" s="148" t="n">
        <f aca="false">8000*'1-10 vols'!B48</f>
        <v>248000</v>
      </c>
      <c r="P48" s="190" t="n">
        <v>-0.2289</v>
      </c>
      <c r="Q48" s="190" t="n">
        <v>0.1089</v>
      </c>
    </row>
    <row r="49" customFormat="false" ht="12.75" hidden="false" customHeight="false" outlineLevel="0" collapsed="false">
      <c r="A49" s="146" t="n">
        <v>37653</v>
      </c>
      <c r="B49" s="147" t="n">
        <v>28</v>
      </c>
      <c r="C49" s="187" t="n">
        <f aca="false">20000*B49</f>
        <v>560000</v>
      </c>
      <c r="D49" s="148" t="n">
        <f aca="false">8000*B49</f>
        <v>224000</v>
      </c>
      <c r="E49" s="187" t="n">
        <f aca="false">10000*B49</f>
        <v>280000</v>
      </c>
      <c r="F49" s="187"/>
      <c r="H49" s="188" t="n">
        <f aca="false">SUM(K49:O49)</f>
        <v>1063999.93</v>
      </c>
      <c r="I49" s="12" t="n">
        <f aca="false">H49/B49</f>
        <v>37999.9975</v>
      </c>
      <c r="K49" s="148" t="n">
        <f aca="false">30000*'1-10 vols'!B49</f>
        <v>840000</v>
      </c>
      <c r="L49" s="189" t="n">
        <v>-0.09</v>
      </c>
      <c r="M49" s="189" t="n">
        <v>0.02</v>
      </c>
      <c r="N49" s="148"/>
      <c r="O49" s="148" t="n">
        <f aca="false">8000*'1-10 vols'!B49</f>
        <v>224000</v>
      </c>
      <c r="P49" s="190" t="n">
        <v>-0.2289</v>
      </c>
      <c r="Q49" s="190" t="n">
        <v>0.1089</v>
      </c>
    </row>
    <row r="50" customFormat="false" ht="12.75" hidden="false" customHeight="false" outlineLevel="0" collapsed="false">
      <c r="A50" s="146" t="n">
        <v>37681</v>
      </c>
      <c r="B50" s="147" t="n">
        <v>31</v>
      </c>
      <c r="C50" s="187" t="n">
        <f aca="false">20000*B50</f>
        <v>620000</v>
      </c>
      <c r="D50" s="148" t="n">
        <f aca="false">8000*B50</f>
        <v>248000</v>
      </c>
      <c r="E50" s="187" t="n">
        <f aca="false">10000*B50</f>
        <v>310000</v>
      </c>
      <c r="F50" s="187"/>
      <c r="H50" s="188" t="n">
        <f aca="false">SUM(K50:O50)</f>
        <v>1177999.93</v>
      </c>
      <c r="I50" s="12" t="n">
        <f aca="false">H50/B50</f>
        <v>37999.9977419355</v>
      </c>
      <c r="K50" s="148" t="n">
        <f aca="false">30000*'1-10 vols'!B50</f>
        <v>930000</v>
      </c>
      <c r="L50" s="189" t="n">
        <v>-0.09</v>
      </c>
      <c r="M50" s="189" t="n">
        <v>0.02</v>
      </c>
      <c r="N50" s="148"/>
      <c r="O50" s="148" t="n">
        <f aca="false">8000*'1-10 vols'!B50</f>
        <v>248000</v>
      </c>
      <c r="P50" s="190" t="n">
        <v>-0.2289</v>
      </c>
      <c r="Q50" s="190" t="n">
        <v>0.1089</v>
      </c>
    </row>
    <row r="51" customFormat="false" ht="12.75" hidden="false" customHeight="false" outlineLevel="0" collapsed="false">
      <c r="A51" s="146" t="n">
        <v>37712</v>
      </c>
      <c r="B51" s="147" t="n">
        <v>30</v>
      </c>
      <c r="C51" s="187" t="n">
        <f aca="false">20000*B51</f>
        <v>600000</v>
      </c>
      <c r="D51" s="148" t="n">
        <f aca="false">8000*B51</f>
        <v>240000</v>
      </c>
      <c r="E51" s="187" t="n">
        <f aca="false">10000*B51</f>
        <v>300000</v>
      </c>
      <c r="F51" s="187"/>
      <c r="H51" s="188" t="n">
        <f aca="false">SUM(K51:O51)</f>
        <v>1139999.93</v>
      </c>
      <c r="I51" s="12" t="n">
        <f aca="false">H51/B51</f>
        <v>37999.9976666667</v>
      </c>
      <c r="K51" s="148" t="n">
        <f aca="false">30000*'1-10 vols'!B51</f>
        <v>900000</v>
      </c>
      <c r="L51" s="189" t="n">
        <v>-0.09</v>
      </c>
      <c r="M51" s="189" t="n">
        <v>0.02</v>
      </c>
      <c r="N51" s="148"/>
      <c r="O51" s="148" t="n">
        <f aca="false">8000*'1-10 vols'!B51</f>
        <v>240000</v>
      </c>
      <c r="P51" s="190" t="n">
        <v>-0.2289</v>
      </c>
      <c r="Q51" s="190" t="n">
        <v>0.1089</v>
      </c>
    </row>
    <row r="52" customFormat="false" ht="12.75" hidden="false" customHeight="false" outlineLevel="0" collapsed="false">
      <c r="A52" s="146" t="n">
        <v>37742</v>
      </c>
      <c r="B52" s="147" t="n">
        <v>31</v>
      </c>
      <c r="C52" s="187" t="n">
        <f aca="false">20000*B52</f>
        <v>620000</v>
      </c>
      <c r="D52" s="148" t="n">
        <f aca="false">8000*B52</f>
        <v>248000</v>
      </c>
      <c r="E52" s="187" t="n">
        <f aca="false">10000*B52</f>
        <v>310000</v>
      </c>
      <c r="F52" s="187"/>
      <c r="H52" s="188" t="n">
        <f aca="false">SUM(K52:O52)</f>
        <v>1177999.93</v>
      </c>
      <c r="I52" s="12" t="n">
        <f aca="false">H52/B52</f>
        <v>37999.9977419355</v>
      </c>
      <c r="K52" s="148" t="n">
        <f aca="false">30000*'1-10 vols'!B52</f>
        <v>930000</v>
      </c>
      <c r="L52" s="189" t="n">
        <v>-0.09</v>
      </c>
      <c r="M52" s="189" t="n">
        <v>0.02</v>
      </c>
      <c r="N52" s="148"/>
      <c r="O52" s="148" t="n">
        <f aca="false">8000*'1-10 vols'!B52</f>
        <v>248000</v>
      </c>
      <c r="P52" s="190" t="n">
        <v>-0.2289</v>
      </c>
      <c r="Q52" s="190" t="n">
        <v>0.1089</v>
      </c>
    </row>
    <row r="53" customFormat="false" ht="12.75" hidden="false" customHeight="false" outlineLevel="0" collapsed="false">
      <c r="A53" s="146" t="n">
        <v>37773</v>
      </c>
      <c r="B53" s="147" t="n">
        <v>30</v>
      </c>
      <c r="C53" s="187" t="n">
        <f aca="false">20000*B53</f>
        <v>600000</v>
      </c>
      <c r="D53" s="148" t="n">
        <f aca="false">8000*B53</f>
        <v>240000</v>
      </c>
      <c r="E53" s="187" t="n">
        <f aca="false">10000*B53</f>
        <v>300000</v>
      </c>
      <c r="F53" s="187"/>
      <c r="H53" s="188" t="n">
        <f aca="false">SUM(K53:O53)</f>
        <v>1139999.93</v>
      </c>
      <c r="I53" s="12" t="n">
        <f aca="false">H53/B53</f>
        <v>37999.9976666667</v>
      </c>
      <c r="K53" s="148" t="n">
        <f aca="false">30000*'1-10 vols'!B53</f>
        <v>900000</v>
      </c>
      <c r="L53" s="189" t="n">
        <v>-0.09</v>
      </c>
      <c r="M53" s="189" t="n">
        <v>0.02</v>
      </c>
      <c r="N53" s="148"/>
      <c r="O53" s="148" t="n">
        <f aca="false">8000*'1-10 vols'!B53</f>
        <v>240000</v>
      </c>
      <c r="P53" s="190" t="n">
        <v>-0.2289</v>
      </c>
      <c r="Q53" s="190" t="n">
        <v>0.1089</v>
      </c>
    </row>
    <row r="54" customFormat="false" ht="12.75" hidden="false" customHeight="false" outlineLevel="0" collapsed="false">
      <c r="A54" s="146" t="n">
        <v>37803</v>
      </c>
      <c r="B54" s="147" t="n">
        <v>31</v>
      </c>
      <c r="C54" s="187" t="n">
        <f aca="false">20000*B54</f>
        <v>620000</v>
      </c>
      <c r="D54" s="148" t="n">
        <f aca="false">8000*B54</f>
        <v>248000</v>
      </c>
      <c r="E54" s="187" t="n">
        <f aca="false">10000*B54</f>
        <v>310000</v>
      </c>
      <c r="F54" s="187"/>
      <c r="H54" s="188" t="n">
        <f aca="false">SUM(K54:O54)</f>
        <v>1177999.93</v>
      </c>
      <c r="I54" s="12" t="n">
        <f aca="false">H54/B54</f>
        <v>37999.9977419355</v>
      </c>
      <c r="K54" s="148" t="n">
        <f aca="false">30000*'1-10 vols'!B54</f>
        <v>930000</v>
      </c>
      <c r="L54" s="189" t="n">
        <v>-0.09</v>
      </c>
      <c r="M54" s="189" t="n">
        <v>0.02</v>
      </c>
      <c r="N54" s="148"/>
      <c r="O54" s="148" t="n">
        <f aca="false">8000*'1-10 vols'!B54</f>
        <v>248000</v>
      </c>
      <c r="P54" s="190" t="n">
        <v>-0.2289</v>
      </c>
      <c r="Q54" s="190" t="n">
        <v>0.1089</v>
      </c>
    </row>
    <row r="55" customFormat="false" ht="12.75" hidden="false" customHeight="false" outlineLevel="0" collapsed="false">
      <c r="A55" s="146" t="n">
        <v>37834</v>
      </c>
      <c r="B55" s="147" t="n">
        <v>31</v>
      </c>
      <c r="C55" s="187" t="n">
        <f aca="false">20000*B55</f>
        <v>620000</v>
      </c>
      <c r="D55" s="148" t="n">
        <f aca="false">8000*B55</f>
        <v>248000</v>
      </c>
      <c r="E55" s="187" t="n">
        <f aca="false">10000*B55</f>
        <v>310000</v>
      </c>
      <c r="F55" s="187"/>
      <c r="H55" s="188" t="n">
        <f aca="false">SUM(K55:O55)</f>
        <v>1177999.93</v>
      </c>
      <c r="I55" s="12" t="n">
        <f aca="false">H55/B55</f>
        <v>37999.9977419355</v>
      </c>
      <c r="K55" s="148" t="n">
        <f aca="false">30000*'1-10 vols'!B55</f>
        <v>930000</v>
      </c>
      <c r="L55" s="189" t="n">
        <v>-0.09</v>
      </c>
      <c r="M55" s="189" t="n">
        <v>0.02</v>
      </c>
      <c r="N55" s="148"/>
      <c r="O55" s="148" t="n">
        <f aca="false">8000*'1-10 vols'!B55</f>
        <v>248000</v>
      </c>
      <c r="P55" s="190" t="n">
        <v>-0.2289</v>
      </c>
      <c r="Q55" s="190" t="n">
        <v>0.1089</v>
      </c>
    </row>
    <row r="56" customFormat="false" ht="12.75" hidden="false" customHeight="false" outlineLevel="0" collapsed="false">
      <c r="A56" s="146" t="n">
        <v>37865</v>
      </c>
      <c r="B56" s="147" t="n">
        <v>30</v>
      </c>
      <c r="C56" s="187" t="n">
        <f aca="false">20000*B56</f>
        <v>600000</v>
      </c>
      <c r="D56" s="148" t="n">
        <f aca="false">8000*B56</f>
        <v>240000</v>
      </c>
      <c r="E56" s="187" t="n">
        <f aca="false">10000*B56</f>
        <v>300000</v>
      </c>
      <c r="F56" s="187"/>
      <c r="H56" s="188" t="n">
        <f aca="false">SUM(K56:O56)</f>
        <v>1139999.93</v>
      </c>
      <c r="I56" s="12" t="n">
        <f aca="false">H56/B56</f>
        <v>37999.9976666667</v>
      </c>
      <c r="K56" s="148" t="n">
        <f aca="false">30000*'1-10 vols'!B56</f>
        <v>900000</v>
      </c>
      <c r="L56" s="189" t="n">
        <v>-0.09</v>
      </c>
      <c r="M56" s="189" t="n">
        <v>0.02</v>
      </c>
      <c r="N56" s="148"/>
      <c r="O56" s="148" t="n">
        <f aca="false">8000*'1-10 vols'!B56</f>
        <v>240000</v>
      </c>
      <c r="P56" s="190" t="n">
        <v>-0.2289</v>
      </c>
      <c r="Q56" s="190" t="n">
        <v>0.1089</v>
      </c>
    </row>
    <row r="57" customFormat="false" ht="12.75" hidden="false" customHeight="false" outlineLevel="0" collapsed="false">
      <c r="A57" s="146" t="n">
        <v>37895</v>
      </c>
      <c r="B57" s="147" t="n">
        <v>31</v>
      </c>
      <c r="C57" s="187" t="n">
        <f aca="false">20000*B57</f>
        <v>620000</v>
      </c>
      <c r="D57" s="148" t="n">
        <f aca="false">8000*B57</f>
        <v>248000</v>
      </c>
      <c r="E57" s="187" t="n">
        <f aca="false">10000*B57</f>
        <v>310000</v>
      </c>
      <c r="F57" s="187"/>
      <c r="H57" s="188" t="n">
        <f aca="false">SUM(K57:O57)</f>
        <v>1177999.93</v>
      </c>
      <c r="I57" s="12" t="n">
        <f aca="false">H57/B57</f>
        <v>37999.9977419355</v>
      </c>
      <c r="K57" s="148" t="n">
        <f aca="false">30000*'1-10 vols'!B57</f>
        <v>930000</v>
      </c>
      <c r="L57" s="189" t="n">
        <v>-0.09</v>
      </c>
      <c r="M57" s="189" t="n">
        <v>0.02</v>
      </c>
      <c r="N57" s="148"/>
      <c r="O57" s="148" t="n">
        <f aca="false">8000*'1-10 vols'!B57</f>
        <v>248000</v>
      </c>
      <c r="P57" s="190" t="n">
        <v>-0.2289</v>
      </c>
      <c r="Q57" s="190" t="n">
        <v>0.1089</v>
      </c>
    </row>
    <row r="58" customFormat="false" ht="12.75" hidden="false" customHeight="false" outlineLevel="0" collapsed="false">
      <c r="A58" s="146" t="n">
        <v>37926</v>
      </c>
      <c r="B58" s="147" t="n">
        <v>30</v>
      </c>
      <c r="C58" s="187" t="n">
        <f aca="false">20000*B58</f>
        <v>600000</v>
      </c>
      <c r="D58" s="148" t="n">
        <f aca="false">8000*B58</f>
        <v>240000</v>
      </c>
      <c r="E58" s="187" t="n">
        <f aca="false">10000*B58</f>
        <v>300000</v>
      </c>
      <c r="F58" s="187"/>
      <c r="H58" s="188" t="n">
        <f aca="false">SUM(K58:O58)</f>
        <v>1139999.93</v>
      </c>
      <c r="I58" s="12" t="n">
        <f aca="false">H58/B58</f>
        <v>37999.9976666667</v>
      </c>
      <c r="K58" s="148" t="n">
        <f aca="false">30000*'1-10 vols'!B58</f>
        <v>900000</v>
      </c>
      <c r="L58" s="189" t="n">
        <v>-0.09</v>
      </c>
      <c r="M58" s="189" t="n">
        <v>0.02</v>
      </c>
      <c r="N58" s="148"/>
      <c r="O58" s="148" t="n">
        <f aca="false">8000*'1-10 vols'!B58</f>
        <v>240000</v>
      </c>
      <c r="P58" s="190" t="n">
        <v>-0.2289</v>
      </c>
      <c r="Q58" s="190" t="n">
        <v>0.1089</v>
      </c>
    </row>
    <row r="59" customFormat="false" ht="12.75" hidden="false" customHeight="false" outlineLevel="0" collapsed="false">
      <c r="A59" s="146" t="n">
        <v>37956</v>
      </c>
      <c r="B59" s="147" t="n">
        <v>31</v>
      </c>
      <c r="C59" s="187" t="n">
        <f aca="false">20000*B59</f>
        <v>620000</v>
      </c>
      <c r="D59" s="148" t="n">
        <f aca="false">8000*B59</f>
        <v>248000</v>
      </c>
      <c r="E59" s="187" t="n">
        <f aca="false">10000*B59</f>
        <v>310000</v>
      </c>
      <c r="F59" s="187"/>
      <c r="H59" s="188" t="n">
        <f aca="false">SUM(K59:O59)</f>
        <v>1177999.93</v>
      </c>
      <c r="I59" s="12" t="n">
        <f aca="false">H59/B59</f>
        <v>37999.9977419355</v>
      </c>
      <c r="K59" s="148" t="n">
        <f aca="false">30000*'1-10 vols'!B59</f>
        <v>930000</v>
      </c>
      <c r="L59" s="189" t="n">
        <v>-0.09</v>
      </c>
      <c r="M59" s="189" t="n">
        <v>0.02</v>
      </c>
      <c r="N59" s="148"/>
      <c r="O59" s="148" t="n">
        <f aca="false">8000*'1-10 vols'!B59</f>
        <v>248000</v>
      </c>
      <c r="P59" s="190" t="n">
        <v>-0.2289</v>
      </c>
      <c r="Q59" s="190" t="n">
        <v>0.1089</v>
      </c>
    </row>
    <row r="60" customFormat="false" ht="12.75" hidden="false" customHeight="false" outlineLevel="0" collapsed="false">
      <c r="A60" s="146" t="n">
        <v>37987</v>
      </c>
      <c r="B60" s="147" t="n">
        <v>31</v>
      </c>
      <c r="C60" s="187" t="n">
        <f aca="false">20000*B60</f>
        <v>620000</v>
      </c>
      <c r="D60" s="148" t="n">
        <f aca="false">8000*B60</f>
        <v>248000</v>
      </c>
      <c r="E60" s="187" t="n">
        <f aca="false">10000*B60</f>
        <v>310000</v>
      </c>
      <c r="F60" s="187"/>
      <c r="H60" s="188" t="n">
        <f aca="false">SUM(K60:O60)</f>
        <v>1177999.93</v>
      </c>
      <c r="I60" s="12" t="n">
        <f aca="false">H60/B60</f>
        <v>37999.9977419355</v>
      </c>
      <c r="K60" s="148" t="n">
        <f aca="false">30000*'1-10 vols'!B60</f>
        <v>930000</v>
      </c>
      <c r="L60" s="189" t="n">
        <v>-0.09</v>
      </c>
      <c r="M60" s="189" t="n">
        <v>0.02</v>
      </c>
      <c r="N60" s="148"/>
      <c r="O60" s="148" t="n">
        <f aca="false">8000*'1-10 vols'!B60</f>
        <v>248000</v>
      </c>
      <c r="P60" s="190" t="n">
        <v>-0.2289</v>
      </c>
      <c r="Q60" s="190" t="n">
        <v>0.1089</v>
      </c>
    </row>
    <row r="61" customFormat="false" ht="12.75" hidden="false" customHeight="false" outlineLevel="0" collapsed="false">
      <c r="A61" s="146" t="n">
        <v>38018</v>
      </c>
      <c r="B61" s="147" t="n">
        <v>28</v>
      </c>
      <c r="C61" s="187" t="n">
        <f aca="false">20000*B61</f>
        <v>560000</v>
      </c>
      <c r="D61" s="148" t="n">
        <f aca="false">8000*B61</f>
        <v>224000</v>
      </c>
      <c r="E61" s="187" t="n">
        <f aca="false">10000*B61</f>
        <v>280000</v>
      </c>
      <c r="F61" s="187"/>
      <c r="H61" s="188" t="n">
        <f aca="false">SUM(K61:O61)</f>
        <v>1063999.93</v>
      </c>
      <c r="I61" s="12" t="n">
        <f aca="false">H61/B61</f>
        <v>37999.9975</v>
      </c>
      <c r="K61" s="148" t="n">
        <f aca="false">30000*'1-10 vols'!B61</f>
        <v>840000</v>
      </c>
      <c r="L61" s="189" t="n">
        <v>-0.09</v>
      </c>
      <c r="M61" s="189" t="n">
        <v>0.02</v>
      </c>
      <c r="N61" s="148"/>
      <c r="O61" s="148" t="n">
        <f aca="false">8000*'1-10 vols'!B61</f>
        <v>224000</v>
      </c>
      <c r="P61" s="190" t="n">
        <v>-0.2289</v>
      </c>
      <c r="Q61" s="190" t="n">
        <v>0.1089</v>
      </c>
    </row>
    <row r="62" customFormat="false" ht="12.75" hidden="false" customHeight="false" outlineLevel="0" collapsed="false">
      <c r="A62" s="146" t="n">
        <v>38047</v>
      </c>
      <c r="B62" s="147" t="n">
        <v>31</v>
      </c>
      <c r="C62" s="187" t="n">
        <f aca="false">20000*B62</f>
        <v>620000</v>
      </c>
      <c r="D62" s="148" t="n">
        <f aca="false">8000*B62</f>
        <v>248000</v>
      </c>
      <c r="E62" s="187" t="n">
        <f aca="false">10000*B62</f>
        <v>310000</v>
      </c>
      <c r="F62" s="187"/>
      <c r="H62" s="188" t="n">
        <f aca="false">SUM(K62:O62)</f>
        <v>1177999.93</v>
      </c>
      <c r="I62" s="12" t="n">
        <f aca="false">H62/B62</f>
        <v>37999.9977419355</v>
      </c>
      <c r="K62" s="148" t="n">
        <f aca="false">30000*'1-10 vols'!B62</f>
        <v>930000</v>
      </c>
      <c r="L62" s="189" t="n">
        <v>-0.09</v>
      </c>
      <c r="M62" s="189" t="n">
        <v>0.02</v>
      </c>
      <c r="N62" s="148"/>
      <c r="O62" s="148" t="n">
        <f aca="false">8000*'1-10 vols'!B62</f>
        <v>248000</v>
      </c>
      <c r="P62" s="190" t="n">
        <v>-0.2289</v>
      </c>
      <c r="Q62" s="190" t="n">
        <v>0.1089</v>
      </c>
    </row>
    <row r="63" customFormat="false" ht="12.75" hidden="false" customHeight="false" outlineLevel="0" collapsed="false">
      <c r="A63" s="146" t="n">
        <v>38078</v>
      </c>
      <c r="B63" s="147" t="n">
        <v>30</v>
      </c>
      <c r="C63" s="187" t="n">
        <f aca="false">20000*B63</f>
        <v>600000</v>
      </c>
      <c r="D63" s="148" t="n">
        <f aca="false">8000*B63</f>
        <v>240000</v>
      </c>
      <c r="E63" s="187" t="n">
        <f aca="false">10000*B63</f>
        <v>300000</v>
      </c>
      <c r="F63" s="187"/>
      <c r="H63" s="188" t="n">
        <f aca="false">SUM(K63:O63)</f>
        <v>1139999.93</v>
      </c>
      <c r="I63" s="12" t="n">
        <f aca="false">H63/B63</f>
        <v>37999.9976666667</v>
      </c>
      <c r="K63" s="148" t="n">
        <f aca="false">30000*'1-10 vols'!B63</f>
        <v>900000</v>
      </c>
      <c r="L63" s="189" t="n">
        <v>-0.09</v>
      </c>
      <c r="M63" s="189" t="n">
        <v>0.02</v>
      </c>
      <c r="N63" s="148"/>
      <c r="O63" s="148" t="n">
        <f aca="false">8000*'1-10 vols'!B63</f>
        <v>240000</v>
      </c>
      <c r="P63" s="190" t="n">
        <v>-0.2289</v>
      </c>
      <c r="Q63" s="190" t="n">
        <v>0.1089</v>
      </c>
    </row>
    <row r="64" customFormat="false" ht="12.75" hidden="false" customHeight="false" outlineLevel="0" collapsed="false">
      <c r="A64" s="146" t="n">
        <v>38108</v>
      </c>
      <c r="B64" s="147" t="n">
        <v>31</v>
      </c>
      <c r="C64" s="187" t="n">
        <f aca="false">20000*B64</f>
        <v>620000</v>
      </c>
      <c r="D64" s="148" t="n">
        <f aca="false">8000*B64</f>
        <v>248000</v>
      </c>
      <c r="E64" s="187" t="n">
        <f aca="false">10000*B64</f>
        <v>310000</v>
      </c>
      <c r="F64" s="187"/>
      <c r="H64" s="188" t="n">
        <f aca="false">SUM(K64:O64)</f>
        <v>1177999.93</v>
      </c>
      <c r="I64" s="12" t="n">
        <f aca="false">H64/B64</f>
        <v>37999.9977419355</v>
      </c>
      <c r="K64" s="148" t="n">
        <f aca="false">30000*'1-10 vols'!B64</f>
        <v>930000</v>
      </c>
      <c r="L64" s="189" t="n">
        <v>-0.09</v>
      </c>
      <c r="M64" s="189" t="n">
        <v>0.02</v>
      </c>
      <c r="N64" s="148"/>
      <c r="O64" s="148" t="n">
        <f aca="false">8000*'1-10 vols'!B64</f>
        <v>248000</v>
      </c>
      <c r="P64" s="190" t="n">
        <v>-0.2289</v>
      </c>
      <c r="Q64" s="190" t="n">
        <v>0.1089</v>
      </c>
    </row>
    <row r="65" customFormat="false" ht="12.75" hidden="false" customHeight="false" outlineLevel="0" collapsed="false">
      <c r="A65" s="146" t="n">
        <v>38139</v>
      </c>
      <c r="B65" s="147" t="n">
        <v>30</v>
      </c>
      <c r="C65" s="187" t="n">
        <f aca="false">20000*B65</f>
        <v>600000</v>
      </c>
      <c r="D65" s="148" t="n">
        <f aca="false">8000*B65</f>
        <v>240000</v>
      </c>
      <c r="E65" s="187" t="n">
        <f aca="false">10000*B65</f>
        <v>300000</v>
      </c>
      <c r="F65" s="187"/>
      <c r="H65" s="188" t="n">
        <f aca="false">SUM(K65:O65)</f>
        <v>1139999.93</v>
      </c>
      <c r="I65" s="12" t="n">
        <f aca="false">H65/B65</f>
        <v>37999.9976666667</v>
      </c>
      <c r="K65" s="148" t="n">
        <f aca="false">30000*'1-10 vols'!B65</f>
        <v>900000</v>
      </c>
      <c r="L65" s="189" t="n">
        <v>-0.09</v>
      </c>
      <c r="M65" s="189" t="n">
        <v>0.02</v>
      </c>
      <c r="N65" s="148"/>
      <c r="O65" s="148" t="n">
        <f aca="false">8000*'1-10 vols'!B65</f>
        <v>240000</v>
      </c>
      <c r="P65" s="190" t="n">
        <v>-0.2289</v>
      </c>
      <c r="Q65" s="190" t="n">
        <v>0.1089</v>
      </c>
    </row>
    <row r="66" customFormat="false" ht="12.75" hidden="false" customHeight="false" outlineLevel="0" collapsed="false">
      <c r="A66" s="146" t="n">
        <v>38169</v>
      </c>
      <c r="B66" s="147" t="n">
        <v>31</v>
      </c>
      <c r="C66" s="187" t="n">
        <f aca="false">20000*B66</f>
        <v>620000</v>
      </c>
      <c r="D66" s="148" t="n">
        <f aca="false">8000*B66</f>
        <v>248000</v>
      </c>
      <c r="E66" s="187" t="n">
        <f aca="false">10000*B66</f>
        <v>310000</v>
      </c>
      <c r="F66" s="187"/>
      <c r="H66" s="188" t="n">
        <f aca="false">SUM(K66:O66)</f>
        <v>1177999.93</v>
      </c>
      <c r="I66" s="12" t="n">
        <f aca="false">H66/B66</f>
        <v>37999.9977419355</v>
      </c>
      <c r="K66" s="148" t="n">
        <f aca="false">30000*'1-10 vols'!B66</f>
        <v>930000</v>
      </c>
      <c r="L66" s="189" t="n">
        <v>-0.09</v>
      </c>
      <c r="M66" s="189" t="n">
        <v>0.02</v>
      </c>
      <c r="N66" s="148"/>
      <c r="O66" s="148" t="n">
        <f aca="false">8000*'1-10 vols'!B66</f>
        <v>248000</v>
      </c>
      <c r="P66" s="190" t="n">
        <v>-0.2289</v>
      </c>
      <c r="Q66" s="190" t="n">
        <v>0.1089</v>
      </c>
    </row>
    <row r="67" customFormat="false" ht="12.75" hidden="false" customHeight="false" outlineLevel="0" collapsed="false">
      <c r="A67" s="146" t="n">
        <v>38200</v>
      </c>
      <c r="B67" s="147" t="n">
        <v>31</v>
      </c>
      <c r="C67" s="187" t="n">
        <f aca="false">20000*B67</f>
        <v>620000</v>
      </c>
      <c r="D67" s="148" t="n">
        <f aca="false">8000*B67</f>
        <v>248000</v>
      </c>
      <c r="E67" s="187" t="n">
        <f aca="false">10000*B67</f>
        <v>310000</v>
      </c>
      <c r="F67" s="187"/>
      <c r="H67" s="188" t="n">
        <f aca="false">SUM(K67:O67)</f>
        <v>1177999.93</v>
      </c>
      <c r="I67" s="12" t="n">
        <f aca="false">H67/B67</f>
        <v>37999.9977419355</v>
      </c>
      <c r="K67" s="148" t="n">
        <f aca="false">30000*'1-10 vols'!B67</f>
        <v>930000</v>
      </c>
      <c r="L67" s="189" t="n">
        <v>-0.09</v>
      </c>
      <c r="M67" s="189" t="n">
        <v>0.02</v>
      </c>
      <c r="N67" s="148"/>
      <c r="O67" s="148" t="n">
        <f aca="false">8000*'1-10 vols'!B67</f>
        <v>248000</v>
      </c>
      <c r="P67" s="190" t="n">
        <v>-0.2289</v>
      </c>
      <c r="Q67" s="190" t="n">
        <v>0.1089</v>
      </c>
    </row>
    <row r="68" customFormat="false" ht="12.75" hidden="false" customHeight="false" outlineLevel="0" collapsed="false">
      <c r="A68" s="146" t="n">
        <v>38231</v>
      </c>
      <c r="B68" s="147" t="n">
        <v>30</v>
      </c>
      <c r="C68" s="187" t="n">
        <f aca="false">20000*B68</f>
        <v>600000</v>
      </c>
      <c r="D68" s="148" t="n">
        <f aca="false">8000*B68</f>
        <v>240000</v>
      </c>
      <c r="E68" s="187" t="n">
        <f aca="false">10000*B68</f>
        <v>300000</v>
      </c>
      <c r="F68" s="187"/>
      <c r="H68" s="188" t="n">
        <f aca="false">SUM(K68:O68)</f>
        <v>1139999.93</v>
      </c>
      <c r="I68" s="12" t="n">
        <f aca="false">H68/B68</f>
        <v>37999.9976666667</v>
      </c>
      <c r="K68" s="148" t="n">
        <f aca="false">30000*'1-10 vols'!B68</f>
        <v>900000</v>
      </c>
      <c r="L68" s="189" t="n">
        <v>-0.09</v>
      </c>
      <c r="M68" s="189" t="n">
        <v>0.02</v>
      </c>
      <c r="N68" s="148"/>
      <c r="O68" s="148" t="n">
        <f aca="false">8000*'1-10 vols'!B68</f>
        <v>240000</v>
      </c>
      <c r="P68" s="190" t="n">
        <v>-0.2289</v>
      </c>
      <c r="Q68" s="190" t="n">
        <v>0.1089</v>
      </c>
    </row>
    <row r="69" customFormat="false" ht="12.75" hidden="false" customHeight="false" outlineLevel="0" collapsed="false">
      <c r="A69" s="146" t="n">
        <v>38261</v>
      </c>
      <c r="B69" s="147" t="n">
        <v>31</v>
      </c>
      <c r="C69" s="187" t="n">
        <f aca="false">20000*B69</f>
        <v>620000</v>
      </c>
      <c r="D69" s="148" t="n">
        <f aca="false">8000*B69</f>
        <v>248000</v>
      </c>
      <c r="E69" s="187" t="n">
        <f aca="false">10000*B69</f>
        <v>310000</v>
      </c>
      <c r="F69" s="187"/>
      <c r="H69" s="188" t="n">
        <f aca="false">SUM(K69:O69)</f>
        <v>1177999.93</v>
      </c>
      <c r="I69" s="12" t="n">
        <f aca="false">H69/B69</f>
        <v>37999.9977419355</v>
      </c>
      <c r="K69" s="148" t="n">
        <f aca="false">30000*'1-10 vols'!B69</f>
        <v>930000</v>
      </c>
      <c r="L69" s="189" t="n">
        <v>-0.09</v>
      </c>
      <c r="M69" s="189" t="n">
        <v>0.02</v>
      </c>
      <c r="N69" s="148"/>
      <c r="O69" s="148" t="n">
        <f aca="false">8000*'1-10 vols'!B69</f>
        <v>248000</v>
      </c>
      <c r="P69" s="190" t="n">
        <v>-0.2289</v>
      </c>
      <c r="Q69" s="190" t="n">
        <v>0.1089</v>
      </c>
    </row>
    <row r="70" customFormat="false" ht="12.75" hidden="false" customHeight="false" outlineLevel="0" collapsed="false">
      <c r="A70" s="146" t="n">
        <v>38292</v>
      </c>
      <c r="B70" s="147" t="n">
        <v>30</v>
      </c>
      <c r="C70" s="187" t="n">
        <f aca="false">20000*B70</f>
        <v>600000</v>
      </c>
      <c r="D70" s="148" t="n">
        <f aca="false">8000*B70</f>
        <v>240000</v>
      </c>
      <c r="E70" s="187" t="n">
        <f aca="false">10000*B70</f>
        <v>300000</v>
      </c>
      <c r="F70" s="187"/>
      <c r="H70" s="188" t="n">
        <f aca="false">SUM(K70:O70)</f>
        <v>1139999.93</v>
      </c>
      <c r="I70" s="12" t="n">
        <f aca="false">H70/B70</f>
        <v>37999.9976666667</v>
      </c>
      <c r="K70" s="148" t="n">
        <f aca="false">30000*'1-10 vols'!B70</f>
        <v>900000</v>
      </c>
      <c r="L70" s="189" t="n">
        <v>-0.09</v>
      </c>
      <c r="M70" s="189" t="n">
        <v>0.02</v>
      </c>
      <c r="N70" s="148"/>
      <c r="O70" s="148" t="n">
        <f aca="false">8000*'1-10 vols'!B70</f>
        <v>240000</v>
      </c>
      <c r="P70" s="190" t="n">
        <v>-0.2289</v>
      </c>
      <c r="Q70" s="190" t="n">
        <v>0.1089</v>
      </c>
    </row>
    <row r="71" customFormat="false" ht="12.75" hidden="false" customHeight="false" outlineLevel="0" collapsed="false">
      <c r="A71" s="146" t="n">
        <v>38322</v>
      </c>
      <c r="B71" s="147" t="n">
        <v>31</v>
      </c>
      <c r="C71" s="187" t="n">
        <f aca="false">20000*B71</f>
        <v>620000</v>
      </c>
      <c r="D71" s="148" t="n">
        <f aca="false">8000*B71</f>
        <v>248000</v>
      </c>
      <c r="E71" s="187" t="n">
        <f aca="false">10000*B71</f>
        <v>310000</v>
      </c>
      <c r="F71" s="187"/>
      <c r="H71" s="188" t="n">
        <f aca="false">SUM(K71:O71)</f>
        <v>1177999.93</v>
      </c>
      <c r="I71" s="12" t="n">
        <f aca="false">H71/B71</f>
        <v>37999.9977419355</v>
      </c>
      <c r="K71" s="148" t="n">
        <f aca="false">30000*'1-10 vols'!B71</f>
        <v>930000</v>
      </c>
      <c r="L71" s="189" t="n">
        <v>-0.09</v>
      </c>
      <c r="M71" s="189" t="n">
        <v>0.02</v>
      </c>
      <c r="N71" s="148"/>
      <c r="O71" s="148" t="n">
        <f aca="false">8000*'1-10 vols'!B71</f>
        <v>248000</v>
      </c>
      <c r="P71" s="190" t="n">
        <v>-0.2289</v>
      </c>
      <c r="Q71" s="190" t="n">
        <v>0.1089</v>
      </c>
    </row>
    <row r="72" customFormat="false" ht="12.75" hidden="false" customHeight="false" outlineLevel="0" collapsed="false">
      <c r="A72" s="146" t="n">
        <v>38353</v>
      </c>
      <c r="B72" s="147" t="n">
        <v>31</v>
      </c>
      <c r="C72" s="187" t="n">
        <f aca="false">20000*B72</f>
        <v>620000</v>
      </c>
      <c r="D72" s="148" t="n">
        <f aca="false">8000*B72</f>
        <v>248000</v>
      </c>
      <c r="E72" s="187" t="n">
        <f aca="false">10000*B72</f>
        <v>310000</v>
      </c>
      <c r="F72" s="187"/>
      <c r="H72" s="188" t="n">
        <f aca="false">SUM(K72:O72)</f>
        <v>1177999.93</v>
      </c>
      <c r="I72" s="12" t="n">
        <f aca="false">H72/B72</f>
        <v>37999.9977419355</v>
      </c>
      <c r="K72" s="148" t="n">
        <f aca="false">30000*'1-10 vols'!B72</f>
        <v>930000</v>
      </c>
      <c r="L72" s="189" t="n">
        <v>-0.09</v>
      </c>
      <c r="M72" s="189" t="n">
        <v>0.02</v>
      </c>
      <c r="N72" s="148"/>
      <c r="O72" s="148" t="n">
        <f aca="false">8000*'1-10 vols'!B72</f>
        <v>248000</v>
      </c>
      <c r="P72" s="190" t="n">
        <v>-0.2289</v>
      </c>
      <c r="Q72" s="190" t="n">
        <v>0.1089</v>
      </c>
    </row>
    <row r="73" customFormat="false" ht="12.75" hidden="false" customHeight="false" outlineLevel="0" collapsed="false">
      <c r="A73" s="146" t="n">
        <v>38384</v>
      </c>
      <c r="B73" s="147" t="n">
        <v>28</v>
      </c>
      <c r="C73" s="187" t="n">
        <f aca="false">20000*B73</f>
        <v>560000</v>
      </c>
      <c r="D73" s="148" t="n">
        <f aca="false">8000*B73</f>
        <v>224000</v>
      </c>
      <c r="E73" s="187" t="n">
        <f aca="false">10000*B73</f>
        <v>280000</v>
      </c>
      <c r="F73" s="187"/>
      <c r="H73" s="188" t="n">
        <f aca="false">SUM(K73:O73)</f>
        <v>1063999.93</v>
      </c>
      <c r="I73" s="12" t="n">
        <f aca="false">H73/B73</f>
        <v>37999.9975</v>
      </c>
      <c r="K73" s="148" t="n">
        <f aca="false">30000*'1-10 vols'!B73</f>
        <v>840000</v>
      </c>
      <c r="L73" s="189" t="n">
        <v>-0.09</v>
      </c>
      <c r="M73" s="189" t="n">
        <v>0.02</v>
      </c>
      <c r="N73" s="148"/>
      <c r="O73" s="148" t="n">
        <f aca="false">8000*'1-10 vols'!B73</f>
        <v>224000</v>
      </c>
      <c r="P73" s="190" t="n">
        <v>-0.2289</v>
      </c>
      <c r="Q73" s="190" t="n">
        <v>0.1089</v>
      </c>
    </row>
    <row r="74" customFormat="false" ht="12.75" hidden="false" customHeight="false" outlineLevel="0" collapsed="false">
      <c r="A74" s="146" t="n">
        <v>38412</v>
      </c>
      <c r="B74" s="147" t="n">
        <v>31</v>
      </c>
      <c r="C74" s="187" t="n">
        <f aca="false">20000*B74</f>
        <v>620000</v>
      </c>
      <c r="D74" s="148" t="n">
        <f aca="false">8000*B74</f>
        <v>248000</v>
      </c>
      <c r="E74" s="187" t="n">
        <f aca="false">10000*B74</f>
        <v>310000</v>
      </c>
      <c r="F74" s="187"/>
      <c r="H74" s="188" t="n">
        <f aca="false">SUM(K74:O74)</f>
        <v>1177999.93</v>
      </c>
      <c r="I74" s="12" t="n">
        <f aca="false">H74/B74</f>
        <v>37999.9977419355</v>
      </c>
      <c r="K74" s="148" t="n">
        <f aca="false">30000*'1-10 vols'!B74</f>
        <v>930000</v>
      </c>
      <c r="L74" s="189" t="n">
        <v>-0.09</v>
      </c>
      <c r="M74" s="189" t="n">
        <v>0.02</v>
      </c>
      <c r="N74" s="148"/>
      <c r="O74" s="148" t="n">
        <f aca="false">8000*'1-10 vols'!B74</f>
        <v>248000</v>
      </c>
      <c r="P74" s="190" t="n">
        <v>-0.2289</v>
      </c>
      <c r="Q74" s="190" t="n">
        <v>0.1089</v>
      </c>
    </row>
    <row r="75" customFormat="false" ht="12.75" hidden="false" customHeight="false" outlineLevel="0" collapsed="false">
      <c r="A75" s="146" t="n">
        <v>38443</v>
      </c>
      <c r="B75" s="147" t="n">
        <v>30</v>
      </c>
      <c r="C75" s="187" t="n">
        <f aca="false">20000*B75</f>
        <v>600000</v>
      </c>
      <c r="D75" s="148" t="n">
        <f aca="false">8000*B75</f>
        <v>240000</v>
      </c>
      <c r="E75" s="187" t="n">
        <f aca="false">10000*B75</f>
        <v>300000</v>
      </c>
      <c r="F75" s="187"/>
      <c r="H75" s="188" t="n">
        <f aca="false">SUM(K75:O75)</f>
        <v>1139999.93</v>
      </c>
      <c r="I75" s="12" t="n">
        <f aca="false">H75/B75</f>
        <v>37999.9976666667</v>
      </c>
      <c r="K75" s="148" t="n">
        <f aca="false">30000*'1-10 vols'!B75</f>
        <v>900000</v>
      </c>
      <c r="L75" s="189" t="n">
        <v>-0.09</v>
      </c>
      <c r="M75" s="189" t="n">
        <v>0.02</v>
      </c>
      <c r="N75" s="148"/>
      <c r="O75" s="148" t="n">
        <f aca="false">8000*'1-10 vols'!B75</f>
        <v>240000</v>
      </c>
      <c r="P75" s="190" t="n">
        <v>-0.2289</v>
      </c>
      <c r="Q75" s="190" t="n">
        <v>0.1089</v>
      </c>
    </row>
    <row r="76" customFormat="false" ht="12.75" hidden="false" customHeight="false" outlineLevel="0" collapsed="false">
      <c r="A76" s="146" t="n">
        <v>38473</v>
      </c>
      <c r="B76" s="147" t="n">
        <v>31</v>
      </c>
      <c r="C76" s="187" t="n">
        <f aca="false">20000*B76</f>
        <v>620000</v>
      </c>
      <c r="D76" s="148" t="n">
        <f aca="false">8000*B76</f>
        <v>248000</v>
      </c>
      <c r="E76" s="187" t="n">
        <f aca="false">10000*B76</f>
        <v>310000</v>
      </c>
      <c r="F76" s="187"/>
      <c r="H76" s="188" t="n">
        <f aca="false">SUM(K76:O76)</f>
        <v>1177999.93</v>
      </c>
      <c r="I76" s="12" t="n">
        <f aca="false">H76/B76</f>
        <v>37999.9977419355</v>
      </c>
      <c r="K76" s="148" t="n">
        <f aca="false">30000*'1-10 vols'!B76</f>
        <v>930000</v>
      </c>
      <c r="L76" s="189" t="n">
        <v>-0.09</v>
      </c>
      <c r="M76" s="189" t="n">
        <v>0.02</v>
      </c>
      <c r="N76" s="148"/>
      <c r="O76" s="148" t="n">
        <f aca="false">8000*'1-10 vols'!B76</f>
        <v>248000</v>
      </c>
      <c r="P76" s="190" t="n">
        <v>-0.2289</v>
      </c>
      <c r="Q76" s="190" t="n">
        <v>0.1089</v>
      </c>
    </row>
    <row r="77" customFormat="false" ht="12.75" hidden="false" customHeight="false" outlineLevel="0" collapsed="false">
      <c r="A77" s="146" t="n">
        <v>38504</v>
      </c>
      <c r="B77" s="147" t="n">
        <v>30</v>
      </c>
      <c r="C77" s="187" t="n">
        <f aca="false">20000*B77</f>
        <v>600000</v>
      </c>
      <c r="D77" s="148" t="n">
        <f aca="false">8000*B77</f>
        <v>240000</v>
      </c>
      <c r="E77" s="187" t="n">
        <f aca="false">10000*B77</f>
        <v>300000</v>
      </c>
      <c r="F77" s="187"/>
      <c r="H77" s="188" t="n">
        <f aca="false">SUM(K77:O77)</f>
        <v>1139999.93</v>
      </c>
      <c r="I77" s="12" t="n">
        <f aca="false">H77/B77</f>
        <v>37999.9976666667</v>
      </c>
      <c r="K77" s="148" t="n">
        <f aca="false">30000*'1-10 vols'!B77</f>
        <v>900000</v>
      </c>
      <c r="L77" s="189" t="n">
        <v>-0.09</v>
      </c>
      <c r="M77" s="189" t="n">
        <v>0.02</v>
      </c>
      <c r="N77" s="148"/>
      <c r="O77" s="148" t="n">
        <f aca="false">8000*'1-10 vols'!B77</f>
        <v>240000</v>
      </c>
      <c r="P77" s="190" t="n">
        <v>-0.2289</v>
      </c>
      <c r="Q77" s="190" t="n">
        <v>0.1089</v>
      </c>
    </row>
    <row r="78" customFormat="false" ht="12.75" hidden="false" customHeight="false" outlineLevel="0" collapsed="false">
      <c r="A78" s="146" t="n">
        <v>38534</v>
      </c>
      <c r="B78" s="147" t="n">
        <v>31</v>
      </c>
      <c r="C78" s="187" t="n">
        <f aca="false">20000*B78</f>
        <v>620000</v>
      </c>
      <c r="D78" s="148" t="n">
        <f aca="false">8000*B78</f>
        <v>248000</v>
      </c>
      <c r="E78" s="187" t="n">
        <f aca="false">10000*B78</f>
        <v>310000</v>
      </c>
      <c r="F78" s="187"/>
      <c r="H78" s="188" t="n">
        <f aca="false">SUM(K78:O78)</f>
        <v>1177999.93</v>
      </c>
      <c r="I78" s="12" t="n">
        <f aca="false">H78/B78</f>
        <v>37999.9977419355</v>
      </c>
      <c r="K78" s="148" t="n">
        <f aca="false">30000*'1-10 vols'!B78</f>
        <v>930000</v>
      </c>
      <c r="L78" s="189" t="n">
        <v>-0.09</v>
      </c>
      <c r="M78" s="189" t="n">
        <v>0.02</v>
      </c>
      <c r="N78" s="148"/>
      <c r="O78" s="148" t="n">
        <f aca="false">8000*'1-10 vols'!B78</f>
        <v>248000</v>
      </c>
      <c r="P78" s="190" t="n">
        <v>-0.2289</v>
      </c>
      <c r="Q78" s="190" t="n">
        <v>0.1089</v>
      </c>
    </row>
    <row r="79" customFormat="false" ht="12.75" hidden="false" customHeight="false" outlineLevel="0" collapsed="false">
      <c r="A79" s="146" t="n">
        <v>38565</v>
      </c>
      <c r="B79" s="147" t="n">
        <v>31</v>
      </c>
      <c r="C79" s="187" t="n">
        <f aca="false">20000*B79</f>
        <v>620000</v>
      </c>
      <c r="D79" s="148" t="n">
        <f aca="false">8000*B79</f>
        <v>248000</v>
      </c>
      <c r="E79" s="187" t="n">
        <f aca="false">10000*B79</f>
        <v>310000</v>
      </c>
      <c r="F79" s="187"/>
      <c r="H79" s="188" t="n">
        <f aca="false">SUM(K79:O79)</f>
        <v>1177999.93</v>
      </c>
      <c r="I79" s="12" t="n">
        <f aca="false">H79/B79</f>
        <v>37999.9977419355</v>
      </c>
      <c r="K79" s="148" t="n">
        <f aca="false">30000*'1-10 vols'!B79</f>
        <v>930000</v>
      </c>
      <c r="L79" s="189" t="n">
        <v>-0.09</v>
      </c>
      <c r="M79" s="189" t="n">
        <v>0.02</v>
      </c>
      <c r="N79" s="148"/>
      <c r="O79" s="148" t="n">
        <f aca="false">8000*'1-10 vols'!B79</f>
        <v>248000</v>
      </c>
      <c r="P79" s="190" t="n">
        <v>-0.2289</v>
      </c>
      <c r="Q79" s="190" t="n">
        <v>0.1089</v>
      </c>
    </row>
    <row r="80" customFormat="false" ht="12.75" hidden="false" customHeight="false" outlineLevel="0" collapsed="false">
      <c r="A80" s="146" t="n">
        <v>38596</v>
      </c>
      <c r="B80" s="147" t="n">
        <v>30</v>
      </c>
      <c r="C80" s="187" t="n">
        <f aca="false">20000*B80</f>
        <v>600000</v>
      </c>
      <c r="D80" s="148" t="n">
        <f aca="false">8000*B80</f>
        <v>240000</v>
      </c>
      <c r="E80" s="187" t="n">
        <f aca="false">10000*B80</f>
        <v>300000</v>
      </c>
      <c r="F80" s="187"/>
      <c r="H80" s="188" t="n">
        <f aca="false">SUM(K80:O80)</f>
        <v>1139999.93</v>
      </c>
      <c r="I80" s="12" t="n">
        <f aca="false">H80/B80</f>
        <v>37999.9976666667</v>
      </c>
      <c r="K80" s="148" t="n">
        <f aca="false">30000*'1-10 vols'!B80</f>
        <v>900000</v>
      </c>
      <c r="L80" s="189" t="n">
        <v>-0.09</v>
      </c>
      <c r="M80" s="189" t="n">
        <v>0.02</v>
      </c>
      <c r="N80" s="148"/>
      <c r="O80" s="148" t="n">
        <f aca="false">8000*'1-10 vols'!B80</f>
        <v>240000</v>
      </c>
      <c r="P80" s="190" t="n">
        <v>-0.2289</v>
      </c>
      <c r="Q80" s="190" t="n">
        <v>0.1089</v>
      </c>
    </row>
    <row r="81" customFormat="false" ht="12.75" hidden="false" customHeight="false" outlineLevel="0" collapsed="false">
      <c r="A81" s="146" t="n">
        <v>38626</v>
      </c>
      <c r="B81" s="147" t="n">
        <v>31</v>
      </c>
      <c r="C81" s="187" t="n">
        <f aca="false">20000*B81</f>
        <v>620000</v>
      </c>
      <c r="D81" s="148" t="n">
        <f aca="false">8000*B81</f>
        <v>248000</v>
      </c>
      <c r="E81" s="187" t="n">
        <f aca="false">10000*B81</f>
        <v>310000</v>
      </c>
      <c r="F81" s="187"/>
      <c r="H81" s="188" t="n">
        <f aca="false">SUM(K81:O81)</f>
        <v>1177999.93</v>
      </c>
      <c r="I81" s="12" t="n">
        <f aca="false">H81/B81</f>
        <v>37999.9977419355</v>
      </c>
      <c r="K81" s="148" t="n">
        <f aca="false">30000*'1-10 vols'!B81</f>
        <v>930000</v>
      </c>
      <c r="L81" s="189" t="n">
        <v>-0.09</v>
      </c>
      <c r="M81" s="189" t="n">
        <v>0.02</v>
      </c>
      <c r="N81" s="148"/>
      <c r="O81" s="148" t="n">
        <f aca="false">8000*'1-10 vols'!B81</f>
        <v>248000</v>
      </c>
      <c r="P81" s="190" t="n">
        <v>-0.2289</v>
      </c>
      <c r="Q81" s="190" t="n">
        <v>0.1089</v>
      </c>
    </row>
    <row r="82" customFormat="false" ht="12.75" hidden="false" customHeight="false" outlineLevel="0" collapsed="false">
      <c r="A82" s="146" t="n">
        <v>38657</v>
      </c>
      <c r="B82" s="147" t="n">
        <v>30</v>
      </c>
      <c r="C82" s="187" t="n">
        <f aca="false">20000*B82</f>
        <v>600000</v>
      </c>
      <c r="D82" s="148" t="n">
        <f aca="false">8000*B82</f>
        <v>240000</v>
      </c>
      <c r="E82" s="187" t="n">
        <f aca="false">10000*B82</f>
        <v>300000</v>
      </c>
      <c r="F82" s="187"/>
      <c r="H82" s="188" t="n">
        <f aca="false">SUM(K82:O82)</f>
        <v>1139999.93</v>
      </c>
      <c r="I82" s="12" t="n">
        <f aca="false">H82/B82</f>
        <v>37999.9976666667</v>
      </c>
      <c r="K82" s="148" t="n">
        <f aca="false">30000*'1-10 vols'!B82</f>
        <v>900000</v>
      </c>
      <c r="L82" s="189" t="n">
        <v>-0.09</v>
      </c>
      <c r="M82" s="189" t="n">
        <v>0.02</v>
      </c>
      <c r="N82" s="148"/>
      <c r="O82" s="148" t="n">
        <f aca="false">8000*'1-10 vols'!B82</f>
        <v>240000</v>
      </c>
      <c r="P82" s="190" t="n">
        <v>-0.2289</v>
      </c>
      <c r="Q82" s="190" t="n">
        <v>0.1089</v>
      </c>
    </row>
    <row r="83" customFormat="false" ht="12.75" hidden="false" customHeight="false" outlineLevel="0" collapsed="false">
      <c r="A83" s="146" t="n">
        <v>38687</v>
      </c>
      <c r="B83" s="147" t="n">
        <v>31</v>
      </c>
      <c r="C83" s="187" t="n">
        <f aca="false">20000*B83</f>
        <v>620000</v>
      </c>
      <c r="D83" s="148" t="n">
        <f aca="false">8000*B83</f>
        <v>248000</v>
      </c>
      <c r="E83" s="187" t="n">
        <f aca="false">10000*B83</f>
        <v>310000</v>
      </c>
      <c r="F83" s="187"/>
      <c r="H83" s="188" t="n">
        <f aca="false">SUM(K83:O83)</f>
        <v>1177999.93</v>
      </c>
      <c r="I83" s="12" t="n">
        <f aca="false">H83/B83</f>
        <v>37999.9977419355</v>
      </c>
      <c r="K83" s="148" t="n">
        <f aca="false">30000*'1-10 vols'!B83</f>
        <v>930000</v>
      </c>
      <c r="L83" s="189" t="n">
        <v>-0.09</v>
      </c>
      <c r="M83" s="189" t="n">
        <v>0.02</v>
      </c>
      <c r="N83" s="148"/>
      <c r="O83" s="148" t="n">
        <f aca="false">8000*'1-10 vols'!B83</f>
        <v>248000</v>
      </c>
      <c r="P83" s="190" t="n">
        <v>-0.2289</v>
      </c>
      <c r="Q83" s="190" t="n">
        <v>0.1089</v>
      </c>
    </row>
    <row r="84" customFormat="false" ht="12.75" hidden="false" customHeight="false" outlineLevel="0" collapsed="false">
      <c r="A84" s="146" t="n">
        <v>38718</v>
      </c>
      <c r="B84" s="147" t="n">
        <v>31</v>
      </c>
      <c r="C84" s="187" t="n">
        <f aca="false">20000*B84</f>
        <v>620000</v>
      </c>
      <c r="D84" s="148" t="n">
        <f aca="false">8000*B84</f>
        <v>248000</v>
      </c>
      <c r="E84" s="187" t="n">
        <f aca="false">10000*B84</f>
        <v>310000</v>
      </c>
      <c r="F84" s="187"/>
      <c r="H84" s="188" t="n">
        <f aca="false">SUM(K84:O84)</f>
        <v>1177999.93</v>
      </c>
      <c r="I84" s="12" t="n">
        <f aca="false">H84/B84</f>
        <v>37999.9977419355</v>
      </c>
      <c r="K84" s="148" t="n">
        <f aca="false">30000*'1-10 vols'!B84</f>
        <v>930000</v>
      </c>
      <c r="L84" s="189" t="n">
        <v>-0.09</v>
      </c>
      <c r="M84" s="189" t="n">
        <v>0.02</v>
      </c>
      <c r="N84" s="148"/>
      <c r="O84" s="148" t="n">
        <f aca="false">8000*'1-10 vols'!B84</f>
        <v>248000</v>
      </c>
      <c r="P84" s="190" t="n">
        <v>-0.2289</v>
      </c>
      <c r="Q84" s="190" t="n">
        <v>0.1089</v>
      </c>
    </row>
    <row r="85" customFormat="false" ht="12.75" hidden="false" customHeight="false" outlineLevel="0" collapsed="false">
      <c r="A85" s="146" t="n">
        <v>38749</v>
      </c>
      <c r="B85" s="147" t="n">
        <v>28</v>
      </c>
      <c r="C85" s="187" t="n">
        <f aca="false">20000*B85</f>
        <v>560000</v>
      </c>
      <c r="D85" s="148" t="n">
        <f aca="false">8000*B85</f>
        <v>224000</v>
      </c>
      <c r="E85" s="187" t="n">
        <f aca="false">10000*B85</f>
        <v>280000</v>
      </c>
      <c r="F85" s="187"/>
      <c r="H85" s="188" t="n">
        <f aca="false">SUM(K85:O85)</f>
        <v>1063999.93</v>
      </c>
      <c r="I85" s="12" t="n">
        <f aca="false">H85/B85</f>
        <v>37999.9975</v>
      </c>
      <c r="K85" s="148" t="n">
        <f aca="false">30000*'1-10 vols'!B85</f>
        <v>840000</v>
      </c>
      <c r="L85" s="189" t="n">
        <v>-0.09</v>
      </c>
      <c r="M85" s="189" t="n">
        <v>0.02</v>
      </c>
      <c r="N85" s="148"/>
      <c r="O85" s="148" t="n">
        <f aca="false">8000*'1-10 vols'!B85</f>
        <v>224000</v>
      </c>
      <c r="P85" s="190" t="n">
        <v>-0.2289</v>
      </c>
      <c r="Q85" s="190" t="n">
        <v>0.1089</v>
      </c>
    </row>
    <row r="86" customFormat="false" ht="12.75" hidden="false" customHeight="false" outlineLevel="0" collapsed="false">
      <c r="A86" s="146" t="n">
        <v>38777</v>
      </c>
      <c r="B86" s="147" t="n">
        <v>31</v>
      </c>
      <c r="C86" s="187" t="n">
        <f aca="false">20000*B86</f>
        <v>620000</v>
      </c>
      <c r="D86" s="148" t="n">
        <f aca="false">8000*B86</f>
        <v>248000</v>
      </c>
      <c r="E86" s="187" t="n">
        <f aca="false">10000*B86</f>
        <v>310000</v>
      </c>
      <c r="F86" s="187"/>
      <c r="H86" s="188" t="n">
        <f aca="false">SUM(K86:O86)</f>
        <v>1177999.93</v>
      </c>
      <c r="I86" s="12" t="n">
        <f aca="false">H86/B86</f>
        <v>37999.9977419355</v>
      </c>
      <c r="K86" s="148" t="n">
        <f aca="false">30000*'1-10 vols'!B86</f>
        <v>930000</v>
      </c>
      <c r="L86" s="189" t="n">
        <v>-0.09</v>
      </c>
      <c r="M86" s="189" t="n">
        <v>0.02</v>
      </c>
      <c r="N86" s="148"/>
      <c r="O86" s="148" t="n">
        <f aca="false">8000*'1-10 vols'!B86</f>
        <v>248000</v>
      </c>
      <c r="P86" s="190" t="n">
        <v>-0.2289</v>
      </c>
      <c r="Q86" s="190" t="n">
        <v>0.1089</v>
      </c>
    </row>
    <row r="89" customFormat="false" ht="12.75" hidden="false" customHeight="false" outlineLevel="0" collapsed="false">
      <c r="A89" s="0" t="s">
        <v>196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3" min="3" style="0" width="12.7"/>
    <col collapsed="false" customWidth="true" hidden="false" outlineLevel="0" max="4" min="4" style="0" width="12.99"/>
    <col collapsed="false" customWidth="true" hidden="false" outlineLevel="0" max="5" min="5" style="0" width="12.14"/>
    <col collapsed="false" customWidth="true" hidden="false" outlineLevel="0" max="7" min="7" style="0" width="12.99"/>
    <col collapsed="false" customWidth="true" hidden="false" outlineLevel="0" max="10" min="10" style="0" width="13.41"/>
    <col collapsed="false" customWidth="true" hidden="false" outlineLevel="0" max="11" min="11" style="0" width="13.14"/>
    <col collapsed="false" customWidth="true" hidden="false" outlineLevel="0" max="13" min="13" style="0" width="9.7"/>
  </cols>
  <sheetData>
    <row r="1" customFormat="false" ht="12.75" hidden="false" customHeight="false" outlineLevel="0" collapsed="false">
      <c r="A1" s="4" t="s">
        <v>93</v>
      </c>
      <c r="B1" s="191" t="n">
        <f aca="false">+'R&amp;C Model'!B1</f>
        <v>36526</v>
      </c>
    </row>
    <row r="2" customFormat="false" ht="12.75" hidden="false" customHeight="false" outlineLevel="0" collapsed="false">
      <c r="A2" s="4" t="s">
        <v>96</v>
      </c>
      <c r="B2" s="183" t="n">
        <f aca="false">+'R&amp;C Model'!B2</f>
        <v>31</v>
      </c>
    </row>
    <row r="3" customFormat="false" ht="12.75" hidden="false" customHeight="false" outlineLevel="0" collapsed="false">
      <c r="D3" s="40" t="s">
        <v>197</v>
      </c>
      <c r="E3" s="56" t="n">
        <f aca="false">B9+B16+E16+E9+H16+H9+K16</f>
        <v>534000</v>
      </c>
    </row>
    <row r="4" customFormat="false" ht="12.75" hidden="false" customHeight="false" outlineLevel="0" collapsed="false">
      <c r="A4" s="4" t="s">
        <v>174</v>
      </c>
      <c r="B4" s="192" t="n">
        <f aca="false">+'R&amp;C Model'!B9</f>
        <v>2.34</v>
      </c>
      <c r="D4" s="40" t="s">
        <v>198</v>
      </c>
      <c r="E4" s="56" t="n">
        <f aca="false">B8+B15+E15+E8+H15+H8+K15</f>
        <v>534000</v>
      </c>
    </row>
    <row r="5" customFormat="false" ht="12.75" hidden="false" customHeight="false" outlineLevel="0" collapsed="false">
      <c r="A5" s="4" t="s">
        <v>175</v>
      </c>
      <c r="B5" s="193" t="n">
        <f aca="false">+'R&amp;C Model'!B10</f>
        <v>-0.015</v>
      </c>
      <c r="D5" s="4" t="s">
        <v>103</v>
      </c>
      <c r="E5" s="194" t="n">
        <v>2.25</v>
      </c>
    </row>
    <row r="6" customFormat="false" ht="12.75" hidden="false" customHeight="false" outlineLevel="0" collapsed="false">
      <c r="C6" s="57"/>
    </row>
    <row r="7" customFormat="false" ht="12.75" hidden="false" customHeight="false" outlineLevel="0" collapsed="false">
      <c r="A7" s="83" t="s">
        <v>199</v>
      </c>
      <c r="D7" s="83" t="s">
        <v>200</v>
      </c>
      <c r="G7" s="83" t="s">
        <v>201</v>
      </c>
    </row>
    <row r="8" customFormat="false" ht="12.75" hidden="false" customHeight="false" outlineLevel="0" collapsed="false">
      <c r="A8" s="4" t="s">
        <v>202</v>
      </c>
      <c r="B8" s="183" t="n">
        <f aca="false">+B9</f>
        <v>300000</v>
      </c>
      <c r="D8" s="4" t="s">
        <v>202</v>
      </c>
      <c r="E8" s="183" t="n">
        <f aca="false">+E9</f>
        <v>7500</v>
      </c>
      <c r="G8" s="4" t="s">
        <v>202</v>
      </c>
      <c r="H8" s="183" t="n">
        <f aca="false">+H9</f>
        <v>120000</v>
      </c>
    </row>
    <row r="9" customFormat="false" ht="12.75" hidden="false" customHeight="false" outlineLevel="0" collapsed="false">
      <c r="A9" s="4" t="s">
        <v>203</v>
      </c>
      <c r="B9" s="183" t="n">
        <v>300000</v>
      </c>
      <c r="D9" s="4" t="s">
        <v>203</v>
      </c>
      <c r="E9" s="183" t="n">
        <v>7500</v>
      </c>
      <c r="G9" s="4" t="s">
        <v>203</v>
      </c>
      <c r="H9" s="183" t="n">
        <v>120000</v>
      </c>
    </row>
    <row r="10" customFormat="false" ht="12.75" hidden="false" customHeight="false" outlineLevel="0" collapsed="false">
      <c r="A10" s="4" t="s">
        <v>204</v>
      </c>
      <c r="B10" s="56" t="n">
        <f aca="false">10000*B2</f>
        <v>310000</v>
      </c>
      <c r="D10" s="4" t="s">
        <v>204</v>
      </c>
      <c r="E10" s="56" t="n">
        <f aca="false">250*B2</f>
        <v>7750</v>
      </c>
      <c r="G10" s="4" t="s">
        <v>204</v>
      </c>
      <c r="H10" s="56" t="n">
        <f aca="false">4000*B2</f>
        <v>124000</v>
      </c>
    </row>
    <row r="11" customFormat="false" ht="12.75" hidden="false" customHeight="false" outlineLevel="0" collapsed="false">
      <c r="A11" s="4" t="s">
        <v>205</v>
      </c>
      <c r="B11" s="195" t="n">
        <f aca="false">B4+B5</f>
        <v>2.325</v>
      </c>
      <c r="D11" s="4" t="s">
        <v>205</v>
      </c>
      <c r="E11" s="195" t="n">
        <f aca="false">B4+B5</f>
        <v>2.325</v>
      </c>
      <c r="G11" s="4" t="s">
        <v>205</v>
      </c>
      <c r="H11" s="195" t="n">
        <f aca="false">+B4+B5</f>
        <v>2.325</v>
      </c>
    </row>
    <row r="12" customFormat="false" ht="12.75" hidden="false" customHeight="false" outlineLevel="0" collapsed="false">
      <c r="A12" s="4" t="s">
        <v>206</v>
      </c>
      <c r="B12" s="163" t="n">
        <v>1.97</v>
      </c>
      <c r="D12" s="4" t="s">
        <v>206</v>
      </c>
      <c r="E12" s="163" t="n">
        <f aca="false">B4-0.055</f>
        <v>2.285</v>
      </c>
      <c r="G12" s="4" t="s">
        <v>206</v>
      </c>
      <c r="H12" s="163" t="n">
        <f aca="false">+B4-0.07</f>
        <v>2.27</v>
      </c>
    </row>
    <row r="14" customFormat="false" ht="12.75" hidden="false" customHeight="false" outlineLevel="0" collapsed="false">
      <c r="A14" s="83" t="s">
        <v>207</v>
      </c>
      <c r="D14" s="83" t="s">
        <v>208</v>
      </c>
      <c r="G14" s="83" t="s">
        <v>209</v>
      </c>
      <c r="J14" s="58"/>
      <c r="K14" s="71"/>
    </row>
    <row r="15" customFormat="false" ht="12.75" hidden="false" customHeight="false" outlineLevel="0" collapsed="false">
      <c r="A15" s="4" t="s">
        <v>202</v>
      </c>
      <c r="B15" s="183" t="n">
        <f aca="false">+B16</f>
        <v>84000</v>
      </c>
      <c r="D15" s="4" t="s">
        <v>202</v>
      </c>
      <c r="E15" s="183" t="n">
        <f aca="false">+E16</f>
        <v>15000</v>
      </c>
      <c r="G15" s="4" t="s">
        <v>202</v>
      </c>
      <c r="H15" s="183" t="n">
        <f aca="false">+H16</f>
        <v>7500</v>
      </c>
      <c r="J15" s="58"/>
      <c r="K15" s="196"/>
    </row>
    <row r="16" customFormat="false" ht="12.75" hidden="false" customHeight="false" outlineLevel="0" collapsed="false">
      <c r="A16" s="4" t="s">
        <v>203</v>
      </c>
      <c r="B16" s="183" t="n">
        <v>84000</v>
      </c>
      <c r="D16" s="4" t="s">
        <v>203</v>
      </c>
      <c r="E16" s="183" t="n">
        <v>15000</v>
      </c>
      <c r="G16" s="4" t="s">
        <v>203</v>
      </c>
      <c r="H16" s="183" t="n">
        <v>7500</v>
      </c>
      <c r="J16" s="58"/>
      <c r="K16" s="196"/>
    </row>
    <row r="17" customFormat="false" ht="12.75" hidden="false" customHeight="false" outlineLevel="0" collapsed="false">
      <c r="A17" s="4" t="s">
        <v>204</v>
      </c>
      <c r="B17" s="56" t="n">
        <f aca="false">2800*B2</f>
        <v>86800</v>
      </c>
      <c r="D17" s="4" t="s">
        <v>204</v>
      </c>
      <c r="E17" s="56" t="n">
        <f aca="false">500*B2</f>
        <v>15500</v>
      </c>
      <c r="G17" s="4" t="s">
        <v>204</v>
      </c>
      <c r="H17" s="56" t="n">
        <v>0</v>
      </c>
      <c r="J17" s="58"/>
      <c r="K17" s="196"/>
    </row>
    <row r="18" customFormat="false" ht="12.75" hidden="false" customHeight="false" outlineLevel="0" collapsed="false">
      <c r="A18" s="4" t="s">
        <v>205</v>
      </c>
      <c r="B18" s="195" t="n">
        <f aca="false">B4+B5</f>
        <v>2.325</v>
      </c>
      <c r="D18" s="4" t="s">
        <v>205</v>
      </c>
      <c r="E18" s="195" t="n">
        <f aca="false">B4+B5+0.002</f>
        <v>2.327</v>
      </c>
      <c r="G18" s="4" t="s">
        <v>205</v>
      </c>
      <c r="H18" s="195" t="n">
        <f aca="false">H19</f>
        <v>2.44</v>
      </c>
      <c r="J18" s="58"/>
      <c r="K18" s="197"/>
    </row>
    <row r="19" customFormat="false" ht="12.75" hidden="false" customHeight="false" outlineLevel="0" collapsed="false">
      <c r="A19" s="4" t="s">
        <v>206</v>
      </c>
      <c r="B19" s="163" t="n">
        <v>2</v>
      </c>
      <c r="D19" s="4" t="s">
        <v>206</v>
      </c>
      <c r="E19" s="163" t="n">
        <v>2.06</v>
      </c>
      <c r="G19" s="4" t="s">
        <v>206</v>
      </c>
      <c r="H19" s="163" t="n">
        <f aca="false">B4+0.1</f>
        <v>2.44</v>
      </c>
      <c r="J19" s="58"/>
      <c r="K19" s="198"/>
    </row>
    <row r="20" customFormat="false" ht="12.75" hidden="false" customHeight="false" outlineLevel="0" collapsed="false">
      <c r="J20" s="71"/>
      <c r="K20" s="71"/>
    </row>
    <row r="21" customFormat="false" ht="12.75" hidden="false" customHeight="false" outlineLevel="0" collapsed="false">
      <c r="B21" s="67"/>
      <c r="C21" s="71"/>
    </row>
    <row r="22" customFormat="false" ht="12.75" hidden="false" customHeight="false" outlineLevel="0" collapsed="false">
      <c r="A22" s="164"/>
      <c r="B22" s="165" t="s">
        <v>120</v>
      </c>
      <c r="C22" s="77"/>
      <c r="D22" s="77"/>
      <c r="E22" s="79"/>
    </row>
    <row r="23" customFormat="false" ht="12.75" hidden="false" customHeight="false" outlineLevel="0" collapsed="false">
      <c r="A23" s="108"/>
      <c r="B23" s="167"/>
      <c r="C23" s="81"/>
      <c r="D23" s="81"/>
      <c r="E23" s="82"/>
      <c r="G23" s="4" t="s">
        <v>210</v>
      </c>
    </row>
    <row r="24" customFormat="false" ht="12.75" hidden="false" customHeight="false" outlineLevel="0" collapsed="false">
      <c r="A24" s="108"/>
      <c r="B24" s="83" t="s">
        <v>182</v>
      </c>
      <c r="C24" s="83"/>
      <c r="D24" s="168" t="s">
        <v>183</v>
      </c>
      <c r="E24" s="84" t="s">
        <v>123</v>
      </c>
      <c r="G24" s="182" t="n">
        <f aca="false">SUM(B26:C31)</f>
        <v>1242442.5</v>
      </c>
    </row>
    <row r="25" customFormat="false" ht="12.75" hidden="false" customHeight="false" outlineLevel="0" collapsed="false">
      <c r="A25" s="108"/>
      <c r="B25" s="88"/>
      <c r="C25" s="169"/>
      <c r="D25" s="88"/>
      <c r="E25" s="169"/>
      <c r="G25" s="4" t="s">
        <v>211</v>
      </c>
    </row>
    <row r="26" customFormat="false" ht="12.75" hidden="false" customHeight="false" outlineLevel="0" collapsed="false">
      <c r="A26" s="95" t="n">
        <v>72063</v>
      </c>
      <c r="B26" s="169" t="n">
        <f aca="false">B9*B11</f>
        <v>697500</v>
      </c>
      <c r="C26" s="169"/>
      <c r="D26" s="88" t="n">
        <f aca="false">B12*B8</f>
        <v>591000</v>
      </c>
      <c r="E26" s="171" t="n">
        <f aca="false">(B11-B12)*B10</f>
        <v>110050</v>
      </c>
      <c r="F26" s="0" t="s">
        <v>212</v>
      </c>
      <c r="G26" s="182" t="n">
        <f aca="false">SUM(D26:D31)</f>
        <v>1097737.5</v>
      </c>
    </row>
    <row r="27" customFormat="false" ht="12.75" hidden="false" customHeight="false" outlineLevel="0" collapsed="false">
      <c r="A27" s="95" t="n">
        <v>70119</v>
      </c>
      <c r="B27" s="169" t="n">
        <f aca="false">B16*B18</f>
        <v>195300</v>
      </c>
      <c r="C27" s="169"/>
      <c r="D27" s="88" t="n">
        <f aca="false">B19*B15</f>
        <v>168000</v>
      </c>
      <c r="E27" s="171" t="n">
        <f aca="false">B17*(B18-B19)</f>
        <v>28210</v>
      </c>
      <c r="F27" s="0" t="s">
        <v>213</v>
      </c>
    </row>
    <row r="28" customFormat="false" ht="12.75" hidden="false" customHeight="false" outlineLevel="0" collapsed="false">
      <c r="A28" s="95" t="n">
        <v>78417</v>
      </c>
      <c r="B28" s="169" t="n">
        <f aca="false">E16*E18</f>
        <v>34905</v>
      </c>
      <c r="C28" s="169"/>
      <c r="D28" s="88" t="n">
        <f aca="false">E19*E15</f>
        <v>30900</v>
      </c>
      <c r="E28" s="171" t="n">
        <f aca="false">E17*(E18-E19)</f>
        <v>4138.49999999999</v>
      </c>
      <c r="F28" s="0" t="s">
        <v>214</v>
      </c>
    </row>
    <row r="29" customFormat="false" ht="12.75" hidden="false" customHeight="false" outlineLevel="0" collapsed="false">
      <c r="A29" s="95" t="n">
        <v>78418</v>
      </c>
      <c r="B29" s="169" t="n">
        <f aca="false">E11*E9</f>
        <v>17437.5</v>
      </c>
      <c r="C29" s="169"/>
      <c r="D29" s="88" t="n">
        <f aca="false">E12*E8</f>
        <v>17137.5</v>
      </c>
      <c r="E29" s="171" t="n">
        <f aca="false">E10*(E11-E12)</f>
        <v>310</v>
      </c>
      <c r="F29" s="0" t="s">
        <v>215</v>
      </c>
    </row>
    <row r="30" customFormat="false" ht="12.75" hidden="false" customHeight="false" outlineLevel="0" collapsed="false">
      <c r="A30" s="95" t="n">
        <v>70114</v>
      </c>
      <c r="B30" s="169" t="n">
        <f aca="false">H18*H16</f>
        <v>18300</v>
      </c>
      <c r="C30" s="169"/>
      <c r="D30" s="88" t="n">
        <f aca="false">H15*H19</f>
        <v>18300</v>
      </c>
      <c r="E30" s="171" t="n">
        <v>0</v>
      </c>
    </row>
    <row r="31" customFormat="false" ht="12.75" hidden="false" customHeight="false" outlineLevel="0" collapsed="false">
      <c r="A31" s="95" t="n">
        <v>60952</v>
      </c>
      <c r="B31" s="169" t="n">
        <f aca="false">+H9*H11</f>
        <v>279000</v>
      </c>
      <c r="C31" s="169"/>
      <c r="D31" s="88" t="n">
        <f aca="false">+H12*H8</f>
        <v>272400</v>
      </c>
      <c r="E31" s="171" t="n">
        <f aca="false">+(H11-H12)*H10</f>
        <v>6819.99999999996</v>
      </c>
      <c r="F31" s="0" t="s">
        <v>68</v>
      </c>
    </row>
    <row r="32" customFormat="false" ht="12.75" hidden="false" customHeight="false" outlineLevel="0" collapsed="false">
      <c r="A32" s="95" t="s">
        <v>132</v>
      </c>
      <c r="B32" s="169" t="n">
        <f aca="false">IF(E3&gt;E4,0,(E4-E3)*E5)</f>
        <v>0</v>
      </c>
      <c r="C32" s="169"/>
      <c r="D32" s="88" t="n">
        <f aca="false">IF(E3&gt;E4,E5*(E3-E4),0)</f>
        <v>0</v>
      </c>
      <c r="E32" s="171" t="n">
        <v>0</v>
      </c>
    </row>
    <row r="33" customFormat="false" ht="12.75" hidden="false" customHeight="false" outlineLevel="0" collapsed="false">
      <c r="A33" s="108"/>
      <c r="B33" s="177"/>
      <c r="C33" s="177"/>
      <c r="D33" s="104"/>
      <c r="E33" s="178"/>
    </row>
    <row r="34" customFormat="false" ht="12.75" hidden="false" customHeight="false" outlineLevel="0" collapsed="false">
      <c r="A34" s="179" t="s">
        <v>134</v>
      </c>
      <c r="B34" s="180" t="n">
        <f aca="false">SUM(B26:C33)</f>
        <v>1242442.5</v>
      </c>
      <c r="C34" s="180"/>
      <c r="D34" s="104" t="n">
        <f aca="false">SUM(D26:D33)</f>
        <v>1097737.5</v>
      </c>
      <c r="E34" s="177" t="n">
        <f aca="false">SUM(E26:E33)</f>
        <v>149528.5</v>
      </c>
    </row>
    <row r="35" customFormat="false" ht="12.75" hidden="false" customHeight="false" outlineLevel="0" collapsed="false">
      <c r="B35" s="72"/>
      <c r="D35" s="181"/>
      <c r="E35" s="72"/>
    </row>
    <row r="37" customFormat="false" ht="12.75" hidden="false" customHeight="false" outlineLevel="0" collapsed="false">
      <c r="B37" s="4" t="s">
        <v>186</v>
      </c>
      <c r="C37" s="182" t="n">
        <f aca="false">D34+E34-B34</f>
        <v>4823.5</v>
      </c>
      <c r="D37" s="182"/>
    </row>
    <row r="39" customFormat="false" ht="12.75" hidden="false" customHeight="false" outlineLevel="0" collapsed="false">
      <c r="A39" s="40" t="s">
        <v>216</v>
      </c>
      <c r="D39" s="199" t="n">
        <f aca="false">+C37+'R&amp;C Model'!C38+'Industrial Model'!C34</f>
        <v>-1396114.95828</v>
      </c>
    </row>
    <row r="40" customFormat="false" ht="12.75" hidden="false" customHeight="false" outlineLevel="0" collapsed="false">
      <c r="J40" s="72"/>
      <c r="L40" s="57"/>
    </row>
    <row r="41" customFormat="false" ht="12.75" hidden="false" customHeight="false" outlineLevel="0" collapsed="false">
      <c r="A41" s="83" t="s">
        <v>138</v>
      </c>
      <c r="B41" s="83"/>
      <c r="C41" s="83"/>
    </row>
    <row r="42" customFormat="false" ht="12.75" hidden="false" customHeight="false" outlineLevel="0" collapsed="false">
      <c r="A42" s="159" t="n">
        <v>72063</v>
      </c>
    </row>
    <row r="43" customFormat="false" ht="12.75" hidden="false" customHeight="false" outlineLevel="0" collapsed="false">
      <c r="A43" s="200" t="s">
        <v>217</v>
      </c>
      <c r="C43" s="181" t="n">
        <f aca="false">(B10-B8)*(B11-B12)</f>
        <v>3550</v>
      </c>
      <c r="K43" s="57"/>
    </row>
    <row r="44" customFormat="false" ht="12.75" hidden="false" customHeight="false" outlineLevel="0" collapsed="false">
      <c r="A44" s="200" t="s">
        <v>218</v>
      </c>
      <c r="C44" s="181" t="n">
        <f aca="false">(B8-B9)*(B11-E5)</f>
        <v>0</v>
      </c>
    </row>
    <row r="45" customFormat="false" ht="12.75" hidden="false" customHeight="false" outlineLevel="0" collapsed="false">
      <c r="A45" s="159" t="n">
        <v>70119</v>
      </c>
      <c r="C45" s="181"/>
    </row>
    <row r="46" customFormat="false" ht="12.75" hidden="false" customHeight="false" outlineLevel="0" collapsed="false">
      <c r="A46" s="200" t="s">
        <v>219</v>
      </c>
      <c r="C46" s="201" t="n">
        <f aca="false">(B17-B15)*(B18-B19)</f>
        <v>909.999999999999</v>
      </c>
    </row>
    <row r="47" customFormat="false" ht="12.75" hidden="false" customHeight="false" outlineLevel="0" collapsed="false">
      <c r="A47" s="200"/>
      <c r="C47" s="181"/>
    </row>
    <row r="48" customFormat="false" ht="12.75" hidden="false" customHeight="false" outlineLevel="0" collapsed="false">
      <c r="A48" s="159" t="s">
        <v>146</v>
      </c>
      <c r="C48" s="202" t="n">
        <f aca="false">SUM(C43:C46)</f>
        <v>4460</v>
      </c>
    </row>
    <row r="49" customFormat="false" ht="12.75" hidden="false" customHeight="false" outlineLevel="0" collapsed="false">
      <c r="A49" s="200"/>
      <c r="C49" s="12"/>
    </row>
    <row r="50" customFormat="false" ht="12.75" hidden="false" customHeight="false" outlineLevel="0" collapsed="false">
      <c r="A50" s="200"/>
      <c r="C50" s="12"/>
    </row>
    <row r="51" customFormat="false" ht="12.75" hidden="false" customHeight="false" outlineLevel="0" collapsed="false">
      <c r="A51" s="200"/>
      <c r="C51" s="12"/>
    </row>
    <row r="52" customFormat="false" ht="12.75" hidden="false" customHeight="false" outlineLevel="0" collapsed="false">
      <c r="A52" s="200"/>
    </row>
    <row r="53" customFormat="false" ht="12.75" hidden="false" customHeight="false" outlineLevel="0" collapsed="false">
      <c r="A53" s="200"/>
    </row>
    <row r="54" customFormat="false" ht="12.75" hidden="false" customHeight="false" outlineLevel="0" collapsed="false">
      <c r="A54" s="200"/>
    </row>
    <row r="55" customFormat="false" ht="12.75" hidden="false" customHeight="false" outlineLevel="0" collapsed="false">
      <c r="A55" s="200"/>
    </row>
    <row r="56" customFormat="false" ht="12.75" hidden="false" customHeight="false" outlineLevel="0" collapsed="false">
      <c r="A56" s="200"/>
    </row>
    <row r="57" customFormat="false" ht="12.75" hidden="false" customHeight="false" outlineLevel="0" collapsed="false">
      <c r="A57" s="200"/>
    </row>
    <row r="58" customFormat="false" ht="12.75" hidden="false" customHeight="false" outlineLevel="0" collapsed="false">
      <c r="A58" s="200"/>
    </row>
    <row r="59" customFormat="false" ht="12.75" hidden="false" customHeight="false" outlineLevel="0" collapsed="false">
      <c r="A59" s="200"/>
    </row>
    <row r="60" customFormat="false" ht="12.75" hidden="false" customHeight="false" outlineLevel="0" collapsed="false">
      <c r="A60" s="200"/>
    </row>
    <row r="61" customFormat="false" ht="12.75" hidden="false" customHeight="false" outlineLevel="0" collapsed="false">
      <c r="A61" s="200"/>
    </row>
    <row r="62" customFormat="false" ht="12.75" hidden="false" customHeight="false" outlineLevel="0" collapsed="false">
      <c r="A62" s="200"/>
    </row>
    <row r="63" customFormat="false" ht="12.75" hidden="false" customHeight="false" outlineLevel="0" collapsed="false">
      <c r="A63" s="200"/>
    </row>
    <row r="64" customFormat="false" ht="12.75" hidden="false" customHeight="false" outlineLevel="0" collapsed="false">
      <c r="A64" s="200"/>
    </row>
    <row r="65" customFormat="false" ht="12.75" hidden="false" customHeight="false" outlineLevel="0" collapsed="false">
      <c r="A65" s="200"/>
    </row>
    <row r="66" customFormat="false" ht="12.75" hidden="false" customHeight="false" outlineLevel="0" collapsed="false">
      <c r="A66" s="200"/>
    </row>
    <row r="67" customFormat="false" ht="12.75" hidden="false" customHeight="false" outlineLevel="0" collapsed="false">
      <c r="A67" s="200"/>
    </row>
    <row r="68" customFormat="false" ht="12.75" hidden="false" customHeight="false" outlineLevel="0" collapsed="false">
      <c r="A68" s="200"/>
    </row>
    <row r="69" customFormat="false" ht="12.75" hidden="false" customHeight="false" outlineLevel="0" collapsed="false">
      <c r="A69" s="200"/>
    </row>
    <row r="70" customFormat="false" ht="12.75" hidden="false" customHeight="false" outlineLevel="0" collapsed="false">
      <c r="A70" s="200"/>
    </row>
    <row r="71" customFormat="false" ht="12.75" hidden="false" customHeight="false" outlineLevel="0" collapsed="false">
      <c r="A71" s="200"/>
    </row>
    <row r="72" customFormat="false" ht="12.75" hidden="false" customHeight="false" outlineLevel="0" collapsed="false">
      <c r="A72" s="200"/>
    </row>
    <row r="73" customFormat="false" ht="12.75" hidden="false" customHeight="false" outlineLevel="0" collapsed="false">
      <c r="A73" s="200"/>
    </row>
    <row r="74" customFormat="false" ht="12.75" hidden="false" customHeight="false" outlineLevel="0" collapsed="false">
      <c r="A74" s="200"/>
    </row>
    <row r="75" customFormat="false" ht="12.75" hidden="false" customHeight="false" outlineLevel="0" collapsed="false">
      <c r="A75" s="200"/>
    </row>
    <row r="76" customFormat="false" ht="12.75" hidden="false" customHeight="false" outlineLevel="0" collapsed="false">
      <c r="A76" s="200"/>
    </row>
    <row r="77" customFormat="false" ht="12.75" hidden="false" customHeight="false" outlineLevel="0" collapsed="false">
      <c r="A77" s="200"/>
    </row>
    <row r="78" customFormat="false" ht="12.75" hidden="false" customHeight="false" outlineLevel="0" collapsed="false">
      <c r="A78" s="200"/>
    </row>
    <row r="79" customFormat="false" ht="12.75" hidden="false" customHeight="false" outlineLevel="0" collapsed="false">
      <c r="A79" s="200"/>
    </row>
    <row r="80" customFormat="false" ht="12.75" hidden="false" customHeight="false" outlineLevel="0" collapsed="false">
      <c r="A80" s="200"/>
    </row>
    <row r="81" customFormat="false" ht="12.75" hidden="false" customHeight="false" outlineLevel="0" collapsed="false">
      <c r="A81" s="200"/>
    </row>
    <row r="82" customFormat="false" ht="12.75" hidden="false" customHeight="false" outlineLevel="0" collapsed="false">
      <c r="A82" s="200"/>
    </row>
    <row r="83" customFormat="false" ht="12.75" hidden="false" customHeight="false" outlineLevel="0" collapsed="false">
      <c r="A83" s="200"/>
    </row>
    <row r="84" customFormat="false" ht="12.75" hidden="false" customHeight="false" outlineLevel="0" collapsed="false">
      <c r="A84" s="200"/>
    </row>
    <row r="85" customFormat="false" ht="12.75" hidden="false" customHeight="false" outlineLevel="0" collapsed="false">
      <c r="A85" s="200"/>
    </row>
    <row r="86" customFormat="false" ht="12.75" hidden="false" customHeight="false" outlineLevel="0" collapsed="false">
      <c r="A86" s="200"/>
    </row>
    <row r="87" customFormat="false" ht="12.75" hidden="false" customHeight="false" outlineLevel="0" collapsed="false">
      <c r="A87" s="200"/>
    </row>
    <row r="88" customFormat="false" ht="12.75" hidden="false" customHeight="false" outlineLevel="0" collapsed="false">
      <c r="A88" s="200"/>
    </row>
    <row r="89" customFormat="false" ht="12.75" hidden="false" customHeight="false" outlineLevel="0" collapsed="false">
      <c r="A89" s="200"/>
    </row>
    <row r="90" customFormat="false" ht="12.75" hidden="false" customHeight="false" outlineLevel="0" collapsed="false">
      <c r="A90" s="200"/>
    </row>
    <row r="91" customFormat="false" ht="12.75" hidden="false" customHeight="false" outlineLevel="0" collapsed="false">
      <c r="A91" s="200"/>
    </row>
    <row r="92" customFormat="false" ht="12.75" hidden="false" customHeight="false" outlineLevel="0" collapsed="false">
      <c r="A92" s="200"/>
    </row>
    <row r="93" customFormat="false" ht="12.75" hidden="false" customHeight="false" outlineLevel="0" collapsed="false">
      <c r="A93" s="200"/>
    </row>
    <row r="94" customFormat="false" ht="12.75" hidden="false" customHeight="false" outlineLevel="0" collapsed="false">
      <c r="A94" s="200"/>
    </row>
    <row r="95" customFormat="false" ht="12.75" hidden="false" customHeight="false" outlineLevel="0" collapsed="false">
      <c r="A95" s="200"/>
    </row>
    <row r="96" customFormat="false" ht="12.75" hidden="false" customHeight="false" outlineLevel="0" collapsed="false">
      <c r="A96" s="200"/>
    </row>
    <row r="97" customFormat="false" ht="12.75" hidden="false" customHeight="false" outlineLevel="0" collapsed="false">
      <c r="A97" s="200"/>
    </row>
    <row r="98" customFormat="false" ht="12.75" hidden="false" customHeight="false" outlineLevel="0" collapsed="false">
      <c r="A98" s="200"/>
    </row>
    <row r="99" customFormat="false" ht="12.75" hidden="false" customHeight="false" outlineLevel="0" collapsed="false">
      <c r="A99" s="200"/>
    </row>
    <row r="100" customFormat="false" ht="12.75" hidden="false" customHeight="false" outlineLevel="0" collapsed="false">
      <c r="A100" s="200"/>
    </row>
  </sheetData>
  <mergeCells count="12">
    <mergeCell ref="B24:C24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C37:D37"/>
    <mergeCell ref="A41:C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1999-03-22T16:23:09Z</dcterms:created>
  <dc:creator>Eric Bass</dc:creator>
  <dc:description/>
  <dc:language>en-US</dc:language>
  <cp:lastModifiedBy>Eric Bass</cp:lastModifiedBy>
  <cp:lastPrinted>2000-01-20T21:25:11Z</cp:lastPrinted>
  <cp:revision>0</cp:revision>
  <dc:subject/>
  <dc:title/>
</cp:coreProperties>
</file>