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pute Summary " sheetId="1" state="visible" r:id="rId3"/>
    <sheet name="Executive Claim Summary - 20 %" sheetId="2" state="visible" r:id="rId4"/>
    <sheet name="Executive Claim Summary - 25%" sheetId="3" state="visible" r:id="rId5"/>
    <sheet name="Executive Claim Summary - 30%" sheetId="4" state="visible" r:id="rId6"/>
    <sheet name="One Cent Surcharge" sheetId="5" state="visible" r:id="rId7"/>
    <sheet name="Financial Swap" sheetId="6" state="visible" r:id="rId8"/>
    <sheet name="Chart" sheetId="7" state="visible" r:id="rId9"/>
    <sheet name="Portland - Executive Claim Suma" sheetId="8" state="visible" r:id="rId10"/>
    <sheet name="Executive Summary" sheetId="9" state="visible" r:id="rId11"/>
    <sheet name="Legal Entity Summary" sheetId="10" state="visible" r:id="rId12"/>
    <sheet name="Detail by Transaction Type" sheetId="11" state="visible" r:id="rId13"/>
  </sheets>
  <externalReferences>
    <externalReference r:id="rId14"/>
  </externalReferences>
  <definedNames>
    <definedName function="false" hidden="false" localSheetId="1" name="_xlnm.Print_Area" vbProcedure="false">'Executive Claim Summary - 20 %'!$A$1:$R$51</definedName>
    <definedName function="false" hidden="false" localSheetId="2" name="_xlnm.Print_Area" vbProcedure="false">'Executive Claim Summary - 25%'!$A$1:$R$52</definedName>
    <definedName function="false" hidden="false" localSheetId="3" name="_xlnm.Print_Area" vbProcedure="false">'Executive Claim Summary - 30%'!$A$1:$R$51</definedName>
    <definedName function="false" hidden="false" localSheetId="8" name="_xlnm.Print_Area" vbProcedure="false">'Executive Summary'!$H$1:$N$36</definedName>
    <definedName function="false" hidden="false" localSheetId="7" name="_xlnm.Print_Area" vbProcedure="false">'Portland - Executive Claim Suma'!$A$1:$R$51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<sst xmlns="http://schemas.openxmlformats.org/spreadsheetml/2006/main" count="617" uniqueCount="264">
  <si>
    <t xml:space="preserve">Privileged and Confidential </t>
  </si>
  <si>
    <t xml:space="preserve">PG&amp;E /Enron</t>
  </si>
  <si>
    <t xml:space="preserve">Settlement Proposal Summary </t>
  </si>
  <si>
    <t xml:space="preserve">(Thousands of Dollars)</t>
  </si>
  <si>
    <t xml:space="preserve">Proof Of Claim </t>
  </si>
  <si>
    <t xml:space="preserve">20% FERC</t>
  </si>
  <si>
    <t xml:space="preserve">25% FERC</t>
  </si>
  <si>
    <t xml:space="preserve">30% FERC</t>
  </si>
  <si>
    <t xml:space="preserve">Refund</t>
  </si>
  <si>
    <t xml:space="preserve">Proposed Claim</t>
  </si>
  <si>
    <t xml:space="preserve">Booked Claim</t>
  </si>
  <si>
    <t xml:space="preserve">P&amp;L Calculation:</t>
  </si>
  <si>
    <t xml:space="preserve">Less:  New Required Reserves</t>
  </si>
  <si>
    <t xml:space="preserve">Add:  Re- Allocated Receivables </t>
  </si>
  <si>
    <t xml:space="preserve"> Total P&amp;L Impact</t>
  </si>
  <si>
    <t xml:space="preserve">Issues:</t>
  </si>
  <si>
    <t xml:space="preserve">FERC Refund - Impact on Cumulative unpaid credit balance, CALPX and CALISO receivables</t>
  </si>
  <si>
    <t xml:space="preserve">Pass through esposures - CALISO and CALPX </t>
  </si>
  <si>
    <t xml:space="preserve">Termination Amounts - Trading Contracts </t>
  </si>
  <si>
    <t xml:space="preserve">One Cent Surcharge</t>
  </si>
  <si>
    <t xml:space="preserve">Estimate from April, 01 - October, 2001</t>
  </si>
  <si>
    <t xml:space="preserve">Estimate from November, 2001 - December,  2002</t>
  </si>
  <si>
    <t xml:space="preserve">Issue:</t>
  </si>
  <si>
    <t xml:space="preserve">Enron's position - Direct Access load is exempted from payment of the one cent surchage as of 3/27/01.</t>
  </si>
  <si>
    <t xml:space="preserve">Financial Swap </t>
  </si>
  <si>
    <t xml:space="preserve">Effective Date April, 01- August, 01</t>
  </si>
  <si>
    <t xml:space="preserve">If Direct Access Energy Credit = $34</t>
  </si>
  <si>
    <t xml:space="preserve">If Direct Access Energy Credit = $40</t>
  </si>
  <si>
    <t xml:space="preserve">If Direct Access Energy Credit = $50</t>
  </si>
  <si>
    <t xml:space="preserve">Methodology (and inputs) for Calculation of  the Direct Access Energy Credit from January 17th through March 31, 2002</t>
  </si>
  <si>
    <t xml:space="preserve">The Direct Access Energy Credit in May, June, July, August and September appears low</t>
  </si>
  <si>
    <t xml:space="preserve">How are DWR purchases being treated?</t>
  </si>
  <si>
    <t xml:space="preserve">Regulatory Exposure - What will ultimately get approved? </t>
  </si>
  <si>
    <t xml:space="preserve">Portland General Electric</t>
  </si>
  <si>
    <t xml:space="preserve">Should Portland General be included as part of the settlement</t>
  </si>
  <si>
    <t xml:space="preserve">Confidential for Settlement Discussions Only </t>
  </si>
  <si>
    <t xml:space="preserve">Pacific Gas &amp; Electric</t>
  </si>
  <si>
    <t xml:space="preserve">Claim Summary </t>
  </si>
  <si>
    <t xml:space="preserve">FERC Refund = 20%</t>
  </si>
  <si>
    <t xml:space="preserve">(a)</t>
  </si>
  <si>
    <t xml:space="preserve">(b)</t>
  </si>
  <si>
    <t xml:space="preserve"> 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</si>
  <si>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</si>
  <si>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</si>
  <si>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</si>
  <si>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</si>
  <si>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</si>
  <si>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(h)</t>
  </si>
  <si>
    <t xml:space="preserve">(i)</t>
  </si>
  <si>
    <t xml:space="preserve">(b) + (c)</t>
  </si>
  <si>
    <t xml:space="preserve">(a) + (d)</t>
  </si>
  <si>
    <t xml:space="preserve">(a) - (f)</t>
  </si>
  <si>
    <t xml:space="preserve">Remaining</t>
  </si>
  <si>
    <t xml:space="preserve">(e) - (g) - (h)</t>
  </si>
  <si>
    <t xml:space="preserve">Description of Claim </t>
  </si>
  <si>
    <t xml:space="preserve">FERC </t>
  </si>
  <si>
    <t xml:space="preserve">Possible </t>
  </si>
  <si>
    <t xml:space="preserve">Total </t>
  </si>
  <si>
    <t xml:space="preserve">Proposed</t>
  </si>
  <si>
    <t xml:space="preserve">Booked </t>
  </si>
  <si>
    <t xml:space="preserve">Net Booked </t>
  </si>
  <si>
    <t xml:space="preserve">Required </t>
  </si>
  <si>
    <t xml:space="preserve">Net P &amp; L </t>
  </si>
  <si>
    <t xml:space="preserve">Claim</t>
  </si>
  <si>
    <t xml:space="preserve">Adjustments </t>
  </si>
  <si>
    <t xml:space="preserve">Adjustments</t>
  </si>
  <si>
    <t xml:space="preserve">Reserves </t>
  </si>
  <si>
    <t xml:space="preserve">Claim </t>
  </si>
  <si>
    <t xml:space="preserve">Reserves</t>
  </si>
  <si>
    <t xml:space="preserve">Impact </t>
  </si>
  <si>
    <t xml:space="preserve">Reconciliation of Variance</t>
  </si>
  <si>
    <t xml:space="preserve">EES/EEMC</t>
  </si>
  <si>
    <t xml:space="preserve">Cumulative - FERC Refund</t>
  </si>
  <si>
    <t xml:space="preserve">Cumulative Unpaid Credit Balances</t>
  </si>
  <si>
    <t xml:space="preserve">Net ISO- PX - FERC Refund</t>
  </si>
  <si>
    <t xml:space="preserve">Balance as of April, 2001</t>
  </si>
  <si>
    <t xml:space="preserve">(Proof of Claim Amount is $403,949)</t>
  </si>
  <si>
    <t xml:space="preserve">Allocation of ISO - PX</t>
  </si>
  <si>
    <t xml:space="preserve">Split Trading Contract Differences</t>
  </si>
  <si>
    <t xml:space="preserve">EPMI</t>
  </si>
  <si>
    <t xml:space="preserve">CALPX &amp; CALISO</t>
  </si>
  <si>
    <t xml:space="preserve">Net Purchases and Sales </t>
  </si>
  <si>
    <t xml:space="preserve">Underscheduling penalty </t>
  </si>
  <si>
    <t xml:space="preserve">Underscheduling Claim* </t>
  </si>
  <si>
    <t xml:space="preserve">Trading Contracts</t>
  </si>
  <si>
    <t xml:space="preserve">FERC Refund</t>
  </si>
  <si>
    <t xml:space="preserve">Enron Canada Corp</t>
  </si>
  <si>
    <t xml:space="preserve">Enron North America </t>
  </si>
  <si>
    <t xml:space="preserve">  US Gas Agreement</t>
  </si>
  <si>
    <t xml:space="preserve">  Master ISDA Agreement</t>
  </si>
  <si>
    <t xml:space="preserve">Allocation Calculation </t>
  </si>
  <si>
    <t xml:space="preserve">Assumptions</t>
  </si>
  <si>
    <t xml:space="preserve">FERC Refund:</t>
  </si>
  <si>
    <t xml:space="preserve">Possible Adjustments:</t>
  </si>
  <si>
    <t xml:space="preserve">(1)   FERC Refund % Estimated to be </t>
  </si>
  <si>
    <t xml:space="preserve">(2)   CALISO and CALPX Allocated 71.5% to PG&amp;E and 28.5% to SCE</t>
  </si>
  <si>
    <t xml:space="preserve">       22% total Direct Access Energy Credits </t>
  </si>
  <si>
    <t xml:space="preserve">(3)   Underscheduling Claim - 100% of amounts accrued after January 17th</t>
  </si>
  <si>
    <t xml:space="preserve">       Ranged from a high in October 00 of 54% to low in December of 5%</t>
  </si>
  <si>
    <t xml:space="preserve">(4)   EPMI MPA - PG&amp;E's estimate of MTM is $125MM while Enron's is $86.113MM</t>
  </si>
  <si>
    <t xml:space="preserve">       Assumed 20% in above estimate</t>
  </si>
  <si>
    <t xml:space="preserve">     Difference Split Equally </t>
  </si>
  <si>
    <t xml:space="preserve">(5)   ENA Master ISDA -  PG&amp;E's estinate if MTM is $63.0MM while Enron's is $74.190MM</t>
  </si>
  <si>
    <t xml:space="preserve">FERC Refund Assumption applied to:</t>
  </si>
  <si>
    <t xml:space="preserve">  Cumulative Unpaid Credit Balance</t>
  </si>
  <si>
    <t xml:space="preserve">  Net CALISO and CALPX purchases/sales</t>
  </si>
  <si>
    <t xml:space="preserve">Letters of Credit </t>
  </si>
  <si>
    <t xml:space="preserve">Letters of Credit with PG&amp;E </t>
  </si>
  <si>
    <t xml:space="preserve">All expire on 11/30/01</t>
  </si>
  <si>
    <t xml:space="preserve">Letters of Credit with CALPX - </t>
  </si>
  <si>
    <t xml:space="preserve">Being rolled month to month</t>
  </si>
  <si>
    <t xml:space="preserve">*Due to the uncertainty of the claim, this amount is currently not recorded as a receivalbe.</t>
  </si>
  <si>
    <t xml:space="preserve">This amount is allocated to the PX and SCE as follows:</t>
  </si>
  <si>
    <t xml:space="preserve">SCE </t>
  </si>
  <si>
    <t xml:space="preserve">CALPX </t>
  </si>
  <si>
    <t xml:space="preserve">FERC Refund = 25%</t>
  </si>
  <si>
    <t xml:space="preserve">       Assumed 25% in above estimate</t>
  </si>
  <si>
    <t xml:space="preserve">FERC Refund = 30%</t>
  </si>
  <si>
    <t xml:space="preserve">       Assumed 30% in above estimate</t>
  </si>
  <si>
    <t xml:space="preserve">1 Cent Surcharge</t>
  </si>
  <si>
    <t xml:space="preserve">Direct Access Accounts</t>
  </si>
  <si>
    <t xml:space="preserve">Volumes/kWh</t>
  </si>
  <si>
    <t xml:space="preserve">By Month</t>
  </si>
  <si>
    <t xml:space="preserve">Total</t>
  </si>
  <si>
    <t xml:space="preserve">Total Volumes</t>
  </si>
  <si>
    <t xml:space="preserve"> IBM</t>
  </si>
  <si>
    <t xml:space="preserve">Other Accounts*</t>
  </si>
  <si>
    <t xml:space="preserve">   Total </t>
  </si>
  <si>
    <t xml:space="preserve">Surcharge</t>
  </si>
  <si>
    <t xml:space="preserve">Disputed Charges</t>
  </si>
  <si>
    <t xml:space="preserve">IBM</t>
  </si>
  <si>
    <t xml:space="preserve">Other </t>
  </si>
  <si>
    <t xml:space="preserve">   Total</t>
  </si>
  <si>
    <t xml:space="preserve">* Volumes for Other Accounts are estimated based on January 01 Loads.   PG&amp;E billing is significantly behind for August, September and October activity.</t>
  </si>
  <si>
    <t xml:space="preserve">May-02 - Dec-02</t>
  </si>
  <si>
    <t xml:space="preserve">Forecast Volumes </t>
  </si>
  <si>
    <t xml:space="preserve">Privileged &amp; Confidential </t>
  </si>
  <si>
    <t xml:space="preserve">Financial Swap</t>
  </si>
  <si>
    <t xml:space="preserve">Direct Access Energy Credits </t>
  </si>
  <si>
    <t xml:space="preserve">IBM Volumes</t>
  </si>
  <si>
    <t xml:space="preserve">IBM - Net Charges</t>
  </si>
  <si>
    <t xml:space="preserve">  Average</t>
  </si>
  <si>
    <t xml:space="preserve">DA Energy Credit</t>
  </si>
  <si>
    <t xml:space="preserve">Net Bill = 0</t>
  </si>
  <si>
    <t xml:space="preserve">Estimated T &amp; D Cost </t>
  </si>
  <si>
    <t xml:space="preserve">Minimum - Swap Price</t>
  </si>
  <si>
    <t xml:space="preserve">Volumes</t>
  </si>
  <si>
    <t xml:space="preserve">Other Volumes</t>
  </si>
  <si>
    <t xml:space="preserve">Swap Delta </t>
  </si>
  <si>
    <t xml:space="preserve">Swap Price = $34</t>
  </si>
  <si>
    <t xml:space="preserve">Swap Price  = $40</t>
  </si>
  <si>
    <t xml:space="preserve">Swap Price = $54</t>
  </si>
  <si>
    <t xml:space="preserve">Swap Settlement </t>
  </si>
  <si>
    <t xml:space="preserve">If DA Energy Credit  = $80 and Swap Price is $54</t>
  </si>
  <si>
    <t xml:space="preserve">D A Energy Credit </t>
  </si>
  <si>
    <t xml:space="preserve">Swap Price</t>
  </si>
  <si>
    <t xml:space="preserve"> Value - Traded</t>
  </si>
  <si>
    <t xml:space="preserve">Portland General </t>
  </si>
  <si>
    <t xml:space="preserve">(1)   FERC Refund % Estimated to be around 22%. </t>
  </si>
  <si>
    <t xml:space="preserve">(2)   CALISO and CALPX Allocated 67% to PG&amp;E and 33% to SCE</t>
  </si>
  <si>
    <t xml:space="preserve">October, 2000</t>
  </si>
  <si>
    <t xml:space="preserve">      Ranged from a high in October 00 of 54% to low in December of 5%</t>
  </si>
  <si>
    <t xml:space="preserve">November, 2000</t>
  </si>
  <si>
    <t xml:space="preserve">      Assumed 12% in above estimate, due to significant differences in the</t>
  </si>
  <si>
    <t xml:space="preserve">December, 2000</t>
  </si>
  <si>
    <t xml:space="preserve">         level of activity each month. </t>
  </si>
  <si>
    <t xml:space="preserve">January, 2001</t>
  </si>
  <si>
    <t xml:space="preserve">February, 2001</t>
  </si>
  <si>
    <t xml:space="preserve">This amount will be allocated to the CALPX and  SCE.</t>
  </si>
  <si>
    <t xml:space="preserve">Pacific Gas &amp; Electric </t>
  </si>
  <si>
    <t xml:space="preserve">Summary</t>
  </si>
  <si>
    <t xml:space="preserve">Confidential for Settlement Purposes Only </t>
  </si>
  <si>
    <t xml:space="preserve">Amount</t>
  </si>
  <si>
    <t xml:space="preserve">MPA</t>
  </si>
  <si>
    <t xml:space="preserve">Rec</t>
  </si>
  <si>
    <t xml:space="preserve">Net</t>
  </si>
  <si>
    <t xml:space="preserve">REC Bal</t>
  </si>
  <si>
    <t xml:space="preserve">PG&amp;E' s</t>
  </si>
  <si>
    <t xml:space="preserve">Enron Legal Entity</t>
  </si>
  <si>
    <t xml:space="preserve">Claimed</t>
  </si>
  <si>
    <t xml:space="preserve">Offsets</t>
  </si>
  <si>
    <t xml:space="preserve">Balance</t>
  </si>
  <si>
    <t xml:space="preserve">w/FERC Refund</t>
  </si>
  <si>
    <t xml:space="preserve">Offer</t>
  </si>
  <si>
    <t xml:space="preserve">Receivables</t>
  </si>
  <si>
    <t xml:space="preserve">EPMI (CALISO &amp; CALPX</t>
  </si>
  <si>
    <t xml:space="preserve">EPMI (MPA)</t>
  </si>
  <si>
    <t xml:space="preserve">Portland General Electric Company</t>
  </si>
  <si>
    <t xml:space="preserve">Enron North America Corporation</t>
  </si>
  <si>
    <t xml:space="preserve">Payables</t>
  </si>
  <si>
    <t xml:space="preserve">Grand Total </t>
  </si>
  <si>
    <t xml:space="preserve">Summary of Discussions </t>
  </si>
  <si>
    <t xml:space="preserve">Enron Quotes</t>
  </si>
  <si>
    <t xml:space="preserve">PG&amp; E Quotes</t>
  </si>
  <si>
    <t xml:space="preserve">Valuation Difference</t>
  </si>
  <si>
    <t xml:space="preserve">Amounts Due Enron:</t>
  </si>
  <si>
    <t xml:space="preserve">EPMI (MPA) Termination Payment</t>
  </si>
  <si>
    <t xml:space="preserve">86 - 102</t>
  </si>
  <si>
    <t xml:space="preserve">125 - 140</t>
  </si>
  <si>
    <t xml:space="preserve">Schedule Of Differences</t>
  </si>
  <si>
    <t xml:space="preserve">Amounts Due PG&amp;E:</t>
  </si>
  <si>
    <t xml:space="preserve">Gas Transactions </t>
  </si>
  <si>
    <t xml:space="preserve">Master ISDA Agreement</t>
  </si>
  <si>
    <t xml:space="preserve">  Canadian Gas Transactions</t>
  </si>
  <si>
    <t xml:space="preserve">Underscheduling Claim</t>
  </si>
  <si>
    <t xml:space="preserve">    Total Gas</t>
  </si>
  <si>
    <t xml:space="preserve">   Total Difference</t>
  </si>
  <si>
    <t xml:space="preserve">Description</t>
  </si>
  <si>
    <t xml:space="preserve">Gross </t>
  </si>
  <si>
    <t xml:space="preserve">Receivable </t>
  </si>
  <si>
    <t xml:space="preserve">Cumulative Unpaid Credit Balance</t>
  </si>
  <si>
    <t xml:space="preserve">Total EES/EEMC </t>
  </si>
  <si>
    <t xml:space="preserve">EPMI (CALISO &amp; CALPX)</t>
  </si>
  <si>
    <t xml:space="preserve">CALISO</t>
  </si>
  <si>
    <t xml:space="preserve">CALISO - Underscheduling</t>
  </si>
  <si>
    <t xml:space="preserve">CALPX</t>
  </si>
  <si>
    <t xml:space="preserve">Total EPMI (CALISO &amp; CALPX)</t>
  </si>
  <si>
    <t xml:space="preserve">MPA - Power Sales</t>
  </si>
  <si>
    <t xml:space="preserve">Total EPMI (Power Sales)</t>
  </si>
  <si>
    <t xml:space="preserve">Sales - October through February, 2001</t>
  </si>
  <si>
    <t xml:space="preserve">Purchases/Payments</t>
  </si>
  <si>
    <t xml:space="preserve">Sales - October through January, 2001</t>
  </si>
  <si>
    <t xml:space="preserve">Canadian Gas Transactions</t>
  </si>
  <si>
    <t xml:space="preserve">US Gas Agreement</t>
  </si>
  <si>
    <t xml:space="preserve">Total Receivable Claim </t>
  </si>
  <si>
    <t xml:space="preserve">  EES</t>
  </si>
  <si>
    <t xml:space="preserve">  EEMC</t>
  </si>
  <si>
    <t xml:space="preserve">November, 2000  - Sales to ISO </t>
  </si>
  <si>
    <t xml:space="preserve">February, 2001 - Allocation of Defaults</t>
  </si>
  <si>
    <t xml:space="preserve">CALISO - Underscheduling*</t>
  </si>
  <si>
    <t xml:space="preserve">March, 2001</t>
  </si>
  <si>
    <t xml:space="preserve">April, 2001</t>
  </si>
  <si>
    <t xml:space="preserve">*This underscheduling receivable is not been booked and has not been taken to earnings</t>
  </si>
  <si>
    <t xml:space="preserve">Dec 00 Day Ahead/Day of Billing </t>
  </si>
  <si>
    <t xml:space="preserve">Payment Jan 18th</t>
  </si>
  <si>
    <t xml:space="preserve">Payment Jan 30th</t>
  </si>
  <si>
    <t xml:space="preserve">Nov RT Final billing dated Feb 15th</t>
  </si>
  <si>
    <t xml:space="preserve">Feb RT P billing dated 4/27</t>
  </si>
  <si>
    <t xml:space="preserve">Jan DA DO billing dated 5/15</t>
  </si>
  <si>
    <t xml:space="preserve">Jan CTS billing dated 5/15 </t>
  </si>
  <si>
    <t xml:space="preserve">Feb CTS billing dated 5/15</t>
  </si>
  <si>
    <t xml:space="preserve">    Sub Total</t>
  </si>
  <si>
    <t xml:space="preserve">Transfer To/From Collateral </t>
  </si>
  <si>
    <t xml:space="preserve">Mar RT P billing dated 6/15</t>
  </si>
  <si>
    <t xml:space="preserve">Commandeering Claim</t>
  </si>
  <si>
    <t xml:space="preserve">Loss of Collateral - With CalPX </t>
  </si>
  <si>
    <t xml:space="preserve">   Total Collateral - 133,777</t>
  </si>
  <si>
    <t xml:space="preserve">Total EPMI (CALISO  &amp;CALPX)</t>
  </si>
  <si>
    <t xml:space="preserve">Sales:</t>
  </si>
  <si>
    <t xml:space="preserve">  Net Sales </t>
  </si>
  <si>
    <t xml:space="preserve">Purchases/Payments:</t>
  </si>
  <si>
    <t xml:space="preserve">Netting &amp; Payments</t>
  </si>
  <si>
    <t xml:space="preserve">   Net Purchases</t>
  </si>
  <si>
    <t xml:space="preserve">   Net Sales</t>
  </si>
  <si>
    <t xml:space="preserve">  Net Purchases</t>
  </si>
  <si>
    <t xml:space="preserve">Total Portland General </t>
  </si>
  <si>
    <t xml:space="preserve">11 Canadian Gas Transactions</t>
  </si>
  <si>
    <t xml:space="preserve">Termination Payments</t>
  </si>
  <si>
    <t xml:space="preserve">Total Enron Canada Corp</t>
  </si>
  <si>
    <t xml:space="preserve">Us Gas - Termination Payment</t>
  </si>
  <si>
    <t xml:space="preserve">  Total Us Gas</t>
  </si>
  <si>
    <t xml:space="preserve">Master ISDA - Termination Payment</t>
  </si>
  <si>
    <t xml:space="preserve">  Total Master ISDA</t>
  </si>
  <si>
    <t xml:space="preserve">Total North America Corporation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</si>
</sst>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[$-409]m/d/yyyy"/>
    <numFmt numFmtId="166" formatCode="0%"/>
    <numFmt numFmtId="167" formatCode="[$-409]#,##0_);\(#,##0\)"/>
    <numFmt numFmtId="168" formatCode="\$#,##0.00"/>
    <numFmt numFmtId="169" formatCode="#,##0"/>
    <numFmt numFmtId="170" formatCode="_(* #,##0.00_);_(* \(#,##0.00\);_(* \-??_);_(@_)"/>
    <numFmt numFmtId="171" formatCode="\$#,##0"/>
    <numFmt numFmtId="172" formatCode="[$-409]mmm\-yy"/>
    <numFmt numFmtId="173" formatCode="0"/>
    <numFmt numFmtId="174" formatCode="0.000"/>
    <numFmt numFmtId="175" formatCode="0.00000"/>
    <numFmt numFmtId="176" formatCode="[$-409]d\-mmm"/>
    <numFmt numFmtId="177" formatCode="#,##0.000"/>
    <numFmt numFmtId="178" formatCode="_(* #,##0_);_(* \(#,##0\);_(* \-??_);_(@_)"/>
    <numFmt numFmtId="179" formatCode="0.00"/>
    <numFmt numFmtId="180" formatCode="0.00000_);\(0.00000\)"/>
    <numFmt numFmtId="181" formatCode="_(* #,##0.00000_);_(* \(#,##0.00000\);_(* \-??_);_(@_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6"/>
      <name val="Arial"/>
      <family val="2"/>
    </font>
    <font>
      <b val="true"/>
      <sz val="9"/>
      <name val="Arial"/>
      <family val="2"/>
    </font>
    <font>
      <b val="true"/>
      <sz val="8"/>
      <color rgb="FF000000"/>
      <name val="Arial"/>
      <family val="2"/>
    </font>
    <font>
      <b val="true"/>
      <sz val="7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12" fillId="0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4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4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4" fillId="0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4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8" fontId="4" fillId="0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2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7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 Direct Access Energy Credits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(Based on IBM Data)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"Rate/KwH"</c:f>
              <c:strCache>
                <c:ptCount val="1"/>
                <c:pt idx="0">
                  <c:v>Rate/KwH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ff0000"/>
              </a:solidFill>
              <a:round/>
            </a:ln>
          </c:spPr>
          <c:invertIfNegative val="0"/>
          <c:dLbls>
            <c:numFmt formatCode="0.000" sourceLinked="1"/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'[1]IBM Analysis'!$B$6:$R$6</c:f>
              <c:multiLvlStrCache>
                <c:ptCount val="1"/>
                <c:lvl>
                  <c:pt idx="0">
                    <c:v>37135</c:v>
                  </c:pt>
                </c:lvl>
                <c:lvl>
                  <c:pt idx="0">
                    <c:v>37104</c:v>
                  </c:pt>
                </c:lvl>
                <c:lvl>
                  <c:pt idx="0">
                    <c:v>37073</c:v>
                  </c:pt>
                </c:lvl>
                <c:lvl>
                  <c:pt idx="0">
                    <c:v>37043</c:v>
                  </c:pt>
                </c:lvl>
                <c:lvl>
                  <c:pt idx="0">
                    <c:v>37012</c:v>
                  </c:pt>
                </c:lvl>
                <c:lvl>
                  <c:pt idx="0">
                    <c:v>36982</c:v>
                  </c:pt>
                </c:lvl>
                <c:lvl>
                  <c:pt idx="0">
                    <c:v>36951</c:v>
                  </c:pt>
                </c:lvl>
                <c:lvl>
                  <c:pt idx="0">
                    <c:v>36923</c:v>
                  </c:pt>
                </c:lvl>
                <c:lvl>
                  <c:pt idx="0">
                    <c:v>36892</c:v>
                  </c:pt>
                </c:lvl>
                <c:lvl>
                  <c:pt idx="0">
                    <c:v>36861</c:v>
                  </c:pt>
                </c:lvl>
                <c:lvl>
                  <c:pt idx="0">
                    <c:v>36831</c:v>
                  </c:pt>
                </c:lvl>
                <c:lvl>
                  <c:pt idx="0">
                    <c:v>36800</c:v>
                  </c:pt>
                </c:lvl>
                <c:lvl>
                  <c:pt idx="0">
                    <c:v>36770</c:v>
                  </c:pt>
                </c:lvl>
                <c:lvl>
                  <c:pt idx="0">
                    <c:v>36739</c:v>
                  </c:pt>
                </c:lvl>
                <c:lvl>
                  <c:pt idx="0">
                    <c:v>36708</c:v>
                  </c:pt>
                </c:lvl>
                <c:lvl>
                  <c:pt idx="0">
                    <c:v>36678</c:v>
                  </c:pt>
                </c:lvl>
                <c:lvl>
                  <c:pt idx="0">
                    <c:v>36647</c:v>
                  </c:pt>
                </c:lvl>
              </c:multiLvlStrCache>
            </c:multiLvlStrRef>
          </c:cat>
          <c:val>
            <c:numRef>
              <c:f>'[1]IBM Analysis'!$B$34:$R$34</c:f>
              <c:numCache>
                <c:formatCode>General</c:formatCode>
                <c:ptCount val="17"/>
                <c:pt idx="0">
                  <c:v>0.0549340114966287</c:v>
                </c:pt>
                <c:pt idx="1">
                  <c:v>0.100636996568804</c:v>
                </c:pt>
                <c:pt idx="2">
                  <c:v>0.115604761999264</c:v>
                </c:pt>
                <c:pt idx="3">
                  <c:v>0.174607247835038</c:v>
                </c:pt>
                <c:pt idx="4">
                  <c:v>0.135320610942902</c:v>
                </c:pt>
                <c:pt idx="5">
                  <c:v>0.133888816207008</c:v>
                </c:pt>
                <c:pt idx="6">
                  <c:v>0.23662303816309</c:v>
                </c:pt>
                <c:pt idx="7">
                  <c:v>0.293982424884932</c:v>
                </c:pt>
                <c:pt idx="8">
                  <c:v>0.182974255403555</c:v>
                </c:pt>
                <c:pt idx="9">
                  <c:v>0.195516350368607</c:v>
                </c:pt>
                <c:pt idx="10">
                  <c:v>0.159420124208037</c:v>
                </c:pt>
                <c:pt idx="11">
                  <c:v>0.101309558644122</c:v>
                </c:pt>
                <c:pt idx="12">
                  <c:v>0.0380484448056808</c:v>
                </c:pt>
                <c:pt idx="13">
                  <c:v>0.0372064452303526</c:v>
                </c:pt>
                <c:pt idx="14">
                  <c:v>0.035072969555695</c:v>
                </c:pt>
                <c:pt idx="15">
                  <c:v>0.0460398472707481</c:v>
                </c:pt>
                <c:pt idx="16">
                  <c:v>0.0502189564620348</c:v>
                </c:pt>
              </c:numCache>
            </c:numRef>
          </c:val>
        </c:ser>
        <c:gapWidth val="150"/>
        <c:overlap val="0"/>
        <c:axId val="78436670"/>
        <c:axId val="82688063"/>
      </c:barChart>
      <c:catAx>
        <c:axId val="7843667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688063"/>
        <c:crossesAt val="0"/>
        <c:auto val="1"/>
        <c:lblAlgn val="ctr"/>
        <c:lblOffset val="100"/>
        <c:noMultiLvlLbl val="0"/>
      </c:catAx>
      <c:valAx>
        <c:axId val="826880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Rate/Kwh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436670"/>
        <c:crossesAt val="1"/>
        <c:crossBetween val="midCat"/>
      </c:valAx>
      <c:spPr>
        <a:solidFill>
          <a:srgbClr val="ffff99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9999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14</xdr:col>
      <xdr:colOff>120240</xdr:colOff>
      <xdr:row>36</xdr:row>
      <xdr:rowOff>104760</xdr:rowOff>
    </xdr:to>
    <xdr:graphicFrame>
      <xdr:nvGraphicFramePr>
        <xdr:cNvPr id="0" name="Chart 1"/>
        <xdr:cNvGraphicFramePr/>
      </xdr:nvGraphicFramePr>
      <xdr:xfrm>
        <a:off x="0" y="0"/>
        <a:ext cx="9054720" cy="593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roposed%20Settlement%20Discussion%20Documents-%20PG&amp;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ispute Summary"/>
      <sheetName val="CPUC Deposits"/>
      <sheetName val="1 Cent - Dispute"/>
      <sheetName val="IBM Chart"/>
      <sheetName val="Financial Swap - April Date"/>
      <sheetName val="CTC - Dispute"/>
      <sheetName val="FERC Refund (ISO Prices)"/>
      <sheetName val="FERC Refund"/>
      <sheetName val="Rate Per KWH"/>
      <sheetName val="IBM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85"/>
    <col collapsed="false" customWidth="true" hidden="false" outlineLevel="0" max="2" min="2" style="0" width="11.28"/>
    <col collapsed="false" customWidth="true" hidden="false" outlineLevel="0" max="4" min="3" style="0" width="9.85"/>
    <col collapsed="false" customWidth="true" hidden="false" outlineLevel="0" max="5" min="5" style="0" width="10.85"/>
    <col collapsed="false" customWidth="true" hidden="false" outlineLevel="0" max="7" min="7" style="0" width="12.56"/>
  </cols>
  <sheetData>
    <row r="1" customFormat="false" ht="12.75" hidden="false" customHeight="false" outlineLevel="0" collapsed="false">
      <c r="A1" s="1" t="s">
        <v>0</v>
      </c>
      <c r="B1" s="1"/>
      <c r="C1" s="1"/>
      <c r="D1" s="2"/>
      <c r="E1" s="2"/>
      <c r="F1" s="2"/>
      <c r="G1" s="2"/>
      <c r="H1" s="2"/>
    </row>
    <row r="2" customFormat="false" ht="12.75" hidden="false" customHeight="false" outlineLevel="0" collapsed="false">
      <c r="A2" s="3" t="n">
        <v>37202</v>
      </c>
      <c r="B2" s="2"/>
      <c r="C2" s="2"/>
      <c r="D2" s="2"/>
      <c r="E2" s="2"/>
      <c r="F2" s="2"/>
      <c r="G2" s="2"/>
      <c r="H2" s="2"/>
    </row>
    <row r="3" customFormat="false" ht="18" hidden="false" customHeight="false" outlineLevel="0" collapsed="false">
      <c r="A3" s="4" t="s">
        <v>1</v>
      </c>
      <c r="B3" s="4"/>
      <c r="C3" s="4"/>
      <c r="D3" s="4"/>
      <c r="E3" s="4"/>
      <c r="F3" s="4"/>
      <c r="G3" s="4"/>
      <c r="H3" s="4"/>
    </row>
    <row r="4" customFormat="false" ht="18" hidden="false" customHeight="false" outlineLevel="0" collapsed="false">
      <c r="A4" s="4" t="s">
        <v>2</v>
      </c>
      <c r="B4" s="4"/>
      <c r="C4" s="4"/>
      <c r="D4" s="4"/>
      <c r="E4" s="4"/>
      <c r="F4" s="4"/>
      <c r="G4" s="4"/>
      <c r="H4" s="4"/>
    </row>
    <row r="5" customFormat="false" ht="12.75" hidden="false" customHeight="false" outlineLevel="0" collapsed="false">
      <c r="A5" s="5" t="s">
        <v>3</v>
      </c>
      <c r="B5" s="5"/>
      <c r="C5" s="5"/>
      <c r="D5" s="5"/>
      <c r="E5" s="5"/>
      <c r="F5" s="5"/>
      <c r="G5" s="5"/>
      <c r="H5" s="5"/>
      <c r="I5" s="6"/>
    </row>
    <row r="6" customFormat="false" ht="12.75" hidden="false" customHeight="false" outlineLevel="0" collapsed="false">
      <c r="A6" s="5"/>
      <c r="B6" s="5"/>
      <c r="C6" s="5"/>
      <c r="D6" s="5"/>
      <c r="E6" s="5"/>
      <c r="F6" s="5"/>
      <c r="G6" s="5"/>
      <c r="H6" s="5"/>
      <c r="I6" s="6"/>
    </row>
    <row r="7" customFormat="false" ht="15.75" hidden="false" customHeight="false" outlineLevel="0" collapsed="false">
      <c r="A7" s="5"/>
      <c r="B7" s="5"/>
      <c r="C7" s="7"/>
      <c r="D7" s="7"/>
      <c r="E7" s="7"/>
      <c r="F7" s="5"/>
      <c r="G7" s="5"/>
      <c r="H7" s="5"/>
      <c r="I7" s="6"/>
    </row>
    <row r="8" customFormat="false" ht="15.75" hidden="false" customHeight="false" outlineLevel="0" collapsed="false">
      <c r="A8" s="8" t="s">
        <v>4</v>
      </c>
      <c r="B8" s="9"/>
      <c r="C8" s="10" t="s">
        <v>5</v>
      </c>
      <c r="D8" s="10" t="s">
        <v>6</v>
      </c>
      <c r="E8" s="10" t="s">
        <v>7</v>
      </c>
      <c r="F8" s="6"/>
      <c r="G8" s="6"/>
      <c r="H8" s="6"/>
    </row>
    <row r="9" customFormat="false" ht="12.75" hidden="false" customHeight="false" outlineLevel="0" collapsed="false">
      <c r="A9" s="11"/>
      <c r="B9" s="9"/>
      <c r="C9" s="5" t="s">
        <v>8</v>
      </c>
      <c r="D9" s="5" t="s">
        <v>8</v>
      </c>
      <c r="E9" s="5" t="s">
        <v>8</v>
      </c>
      <c r="F9" s="6"/>
      <c r="G9" s="6"/>
      <c r="H9" s="6"/>
    </row>
    <row r="10" customFormat="false" ht="12.75" hidden="false" customHeight="false" outlineLevel="0" collapsed="false">
      <c r="A10" s="9"/>
      <c r="B10" s="9"/>
      <c r="C10" s="9"/>
      <c r="D10" s="9"/>
      <c r="E10" s="9"/>
      <c r="F10" s="6"/>
      <c r="G10" s="6"/>
      <c r="H10" s="6"/>
    </row>
    <row r="11" customFormat="false" ht="12.75" hidden="false" customHeight="false" outlineLevel="0" collapsed="false">
      <c r="A11" s="9" t="s">
        <v>9</v>
      </c>
      <c r="B11" s="9"/>
      <c r="C11" s="12" t="n">
        <f aca="false">'Executive Claim Summary - 20 %'!J27</f>
        <v>382340.534580645</v>
      </c>
      <c r="D11" s="12" t="n">
        <f aca="false">'Executive Claim Summary - 25%'!J27</f>
        <v>360633.505080645</v>
      </c>
      <c r="E11" s="12" t="n">
        <f aca="false">'Executive Claim Summary - 30%'!J27</f>
        <v>338926.475580645</v>
      </c>
      <c r="F11" s="6"/>
      <c r="G11" s="6"/>
      <c r="H11" s="6"/>
    </row>
    <row r="12" customFormat="false" ht="12.75" hidden="false" customHeight="false" outlineLevel="0" collapsed="false">
      <c r="A12" s="9" t="s">
        <v>10</v>
      </c>
      <c r="B12" s="9"/>
      <c r="C12" s="12" t="n">
        <f aca="false">'Executive Claim Summary - 30%'!N27</f>
        <v>199471</v>
      </c>
      <c r="D12" s="12" t="n">
        <f aca="false">'Executive Claim Summary - 30%'!N27</f>
        <v>199471</v>
      </c>
      <c r="E12" s="12" t="n">
        <f aca="false">'Executive Claim Summary - 30%'!N27</f>
        <v>199471</v>
      </c>
      <c r="F12" s="6"/>
      <c r="G12" s="6"/>
      <c r="H12" s="6"/>
    </row>
    <row r="13" customFormat="false" ht="12.75" hidden="false" customHeight="false" outlineLevel="0" collapsed="false">
      <c r="A13" s="9"/>
      <c r="B13" s="9"/>
      <c r="C13" s="12" t="n">
        <f aca="false">C11-C12</f>
        <v>182869.534580645</v>
      </c>
      <c r="D13" s="12" t="n">
        <f aca="false">D11-D12</f>
        <v>161162.505080645</v>
      </c>
      <c r="E13" s="12" t="n">
        <f aca="false">E11-E12</f>
        <v>139455.475580645</v>
      </c>
      <c r="F13" s="6"/>
      <c r="G13" s="6"/>
      <c r="H13" s="6"/>
    </row>
    <row r="14" customFormat="false" ht="12.75" hidden="false" customHeight="false" outlineLevel="0" collapsed="false">
      <c r="A14" s="9" t="s">
        <v>11</v>
      </c>
      <c r="B14" s="9"/>
      <c r="C14" s="12"/>
      <c r="D14" s="12"/>
      <c r="E14" s="12"/>
      <c r="F14" s="6"/>
      <c r="G14" s="6"/>
      <c r="H14" s="6"/>
    </row>
    <row r="15" customFormat="false" ht="12.75" hidden="false" customHeight="false" outlineLevel="0" collapsed="false">
      <c r="A15" s="9" t="s">
        <v>12</v>
      </c>
      <c r="B15" s="9"/>
      <c r="C15" s="12" t="n">
        <f aca="false">-'Executive Claim Summary - 20 %'!P27</f>
        <v>-57351.0801870968</v>
      </c>
      <c r="D15" s="12" t="n">
        <f aca="false">-'Executive Claim Summary - 25%'!P27</f>
        <v>-54095.0257620968</v>
      </c>
      <c r="E15" s="12" t="n">
        <f aca="false">-'Executive Claim Summary - 30%'!P27</f>
        <v>-50838.9713370968</v>
      </c>
      <c r="F15" s="6"/>
      <c r="G15" s="6"/>
      <c r="H15" s="6"/>
    </row>
    <row r="16" customFormat="false" ht="12.75" hidden="false" customHeight="false" outlineLevel="0" collapsed="false">
      <c r="A16" s="9" t="s">
        <v>13</v>
      </c>
      <c r="B16" s="9"/>
      <c r="C16" s="12" t="n">
        <f aca="false">-'Executive Claim Summary - 20 %'!F17</f>
        <v>9780.288</v>
      </c>
      <c r="D16" s="12" t="n">
        <f aca="false">-'Executive Claim Summary - 25%'!F17</f>
        <v>9178.5675</v>
      </c>
      <c r="E16" s="12" t="n">
        <f aca="false">-'Executive Claim Summary - 30%'!F17</f>
        <v>8576.847</v>
      </c>
      <c r="F16" s="6"/>
      <c r="G16" s="6"/>
      <c r="H16" s="6"/>
    </row>
    <row r="17" customFormat="false" ht="12.75" hidden="false" customHeight="false" outlineLevel="0" collapsed="false">
      <c r="A17" s="2" t="s">
        <v>14</v>
      </c>
      <c r="B17" s="2"/>
      <c r="C17" s="13" t="n">
        <f aca="false">SUM(C13:C16)</f>
        <v>135298.742393548</v>
      </c>
      <c r="D17" s="13" t="n">
        <f aca="false">SUM(D13:D16)</f>
        <v>116246.046818548</v>
      </c>
      <c r="E17" s="13" t="n">
        <f aca="false">SUM(E13:E16)</f>
        <v>97193.3512435484</v>
      </c>
      <c r="F17" s="6"/>
      <c r="G17" s="6"/>
      <c r="H17" s="6"/>
    </row>
    <row r="18" customFormat="false" ht="12.75" hidden="false" customHeight="false" outlineLevel="0" collapsed="false">
      <c r="A18" s="9"/>
      <c r="B18" s="9"/>
      <c r="C18" s="9"/>
      <c r="D18" s="12"/>
      <c r="E18" s="12"/>
      <c r="F18" s="6"/>
      <c r="G18" s="6"/>
      <c r="H18" s="6"/>
    </row>
    <row r="19" customFormat="false" ht="12.75" hidden="false" customHeight="false" outlineLevel="0" collapsed="false">
      <c r="A19" s="1" t="s">
        <v>15</v>
      </c>
      <c r="B19" s="9"/>
      <c r="C19" s="9"/>
      <c r="D19" s="12"/>
      <c r="E19" s="12"/>
      <c r="F19" s="6"/>
      <c r="G19" s="6"/>
      <c r="H19" s="6"/>
    </row>
    <row r="20" customFormat="false" ht="12.75" hidden="false" customHeight="false" outlineLevel="0" collapsed="false">
      <c r="A20" s="1" t="s">
        <v>16</v>
      </c>
      <c r="B20" s="9"/>
      <c r="C20" s="9"/>
      <c r="D20" s="12"/>
      <c r="E20" s="12"/>
      <c r="F20" s="6"/>
      <c r="G20" s="6"/>
      <c r="H20" s="6"/>
    </row>
    <row r="21" customFormat="false" ht="12.75" hidden="false" customHeight="false" outlineLevel="0" collapsed="false">
      <c r="A21" s="1" t="s">
        <v>17</v>
      </c>
      <c r="B21" s="9"/>
      <c r="C21" s="9"/>
      <c r="D21" s="12"/>
      <c r="E21" s="12"/>
      <c r="F21" s="6"/>
      <c r="G21" s="6"/>
      <c r="H21" s="6"/>
    </row>
    <row r="22" customFormat="false" ht="12.75" hidden="false" customHeight="false" outlineLevel="0" collapsed="false">
      <c r="A22" s="1" t="s">
        <v>18</v>
      </c>
      <c r="B22" s="9"/>
      <c r="C22" s="9"/>
      <c r="D22" s="9"/>
      <c r="E22" s="9"/>
      <c r="F22" s="6"/>
      <c r="G22" s="6"/>
      <c r="H22" s="6"/>
    </row>
    <row r="23" customFormat="false" ht="12.75" hidden="false" customHeight="false" outlineLevel="0" collapsed="false">
      <c r="A23" s="1"/>
      <c r="B23" s="9"/>
      <c r="C23" s="9"/>
      <c r="D23" s="9"/>
      <c r="E23" s="9"/>
      <c r="F23" s="6"/>
      <c r="G23" s="6"/>
      <c r="H23" s="6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1"/>
      <c r="G24" s="14"/>
      <c r="H24" s="1"/>
      <c r="I24" s="11"/>
    </row>
    <row r="25" customFormat="false" ht="15.75" hidden="false" customHeight="false" outlineLevel="0" collapsed="false">
      <c r="A25" s="8" t="s">
        <v>19</v>
      </c>
      <c r="B25" s="2"/>
      <c r="C25" s="2"/>
      <c r="D25" s="2"/>
      <c r="E25" s="15"/>
      <c r="F25" s="1"/>
      <c r="G25" s="14"/>
      <c r="H25" s="1"/>
      <c r="I25" s="11"/>
    </row>
    <row r="26" customFormat="false" ht="12.75" hidden="false" customHeight="false" outlineLevel="0" collapsed="false">
      <c r="A26" s="9" t="s">
        <v>20</v>
      </c>
      <c r="B26" s="9"/>
      <c r="C26" s="9"/>
      <c r="D26" s="2"/>
      <c r="E26" s="16" t="n">
        <f aca="false">'One Cent Surcharge'!I20/1000</f>
        <v>15365.86223</v>
      </c>
      <c r="F26" s="17"/>
      <c r="G26" s="6"/>
      <c r="H26" s="6"/>
      <c r="I26" s="11"/>
    </row>
    <row r="27" customFormat="false" ht="12.75" hidden="false" customHeight="false" outlineLevel="0" collapsed="false">
      <c r="A27" s="9" t="s">
        <v>21</v>
      </c>
      <c r="B27" s="2"/>
      <c r="C27" s="1"/>
      <c r="D27" s="1"/>
      <c r="E27" s="16" t="n">
        <f aca="false">'One Cent Surcharge'!I32/1000</f>
        <v>49567.7304780917</v>
      </c>
      <c r="F27" s="1"/>
      <c r="G27" s="18"/>
      <c r="H27" s="1"/>
      <c r="I27" s="11"/>
    </row>
    <row r="28" customFormat="false" ht="12.75" hidden="false" customHeight="false" outlineLevel="0" collapsed="false">
      <c r="A28" s="9"/>
      <c r="B28" s="2"/>
      <c r="C28" s="1"/>
      <c r="D28" s="1"/>
      <c r="E28" s="19"/>
      <c r="F28" s="1"/>
      <c r="G28" s="18"/>
      <c r="H28" s="1"/>
      <c r="I28" s="11"/>
    </row>
    <row r="29" customFormat="false" ht="12.75" hidden="false" customHeight="false" outlineLevel="0" collapsed="false">
      <c r="A29" s="1" t="s">
        <v>22</v>
      </c>
      <c r="B29" s="1"/>
      <c r="C29" s="1"/>
      <c r="D29" s="1"/>
      <c r="E29" s="20"/>
      <c r="F29" s="1"/>
      <c r="G29" s="18"/>
      <c r="H29" s="1"/>
      <c r="I29" s="11"/>
    </row>
    <row r="30" customFormat="false" ht="12.75" hidden="false" customHeight="false" outlineLevel="0" collapsed="false">
      <c r="A30" s="1" t="s">
        <v>23</v>
      </c>
      <c r="B30" s="1"/>
      <c r="C30" s="1"/>
      <c r="D30" s="1"/>
      <c r="E30" s="20"/>
      <c r="F30" s="1"/>
      <c r="G30" s="18"/>
      <c r="H30" s="1"/>
      <c r="I30" s="11"/>
    </row>
    <row r="31" customFormat="false" ht="12.75" hidden="false" customHeight="false" outlineLevel="0" collapsed="false">
      <c r="A31" s="1"/>
      <c r="B31" s="1"/>
      <c r="C31" s="1"/>
      <c r="D31" s="1"/>
      <c r="E31" s="1"/>
      <c r="F31" s="1"/>
      <c r="G31" s="14"/>
      <c r="H31" s="1"/>
      <c r="I31" s="11"/>
    </row>
    <row r="32" customFormat="false" ht="12.75" hidden="false" customHeight="false" outlineLevel="0" collapsed="false">
      <c r="A32" s="1"/>
      <c r="B32" s="1"/>
      <c r="C32" s="1"/>
      <c r="D32" s="1"/>
      <c r="E32" s="1"/>
      <c r="F32" s="1"/>
      <c r="G32" s="14"/>
      <c r="H32" s="1"/>
      <c r="I32" s="11"/>
    </row>
    <row r="33" customFormat="false" ht="15.75" hidden="false" customHeight="false" outlineLevel="0" collapsed="false">
      <c r="A33" s="8" t="s">
        <v>24</v>
      </c>
      <c r="B33" s="1"/>
      <c r="C33" s="1"/>
      <c r="D33" s="1"/>
      <c r="E33" s="1"/>
      <c r="F33" s="1"/>
      <c r="G33" s="14"/>
      <c r="H33" s="1"/>
      <c r="I33" s="11"/>
    </row>
    <row r="34" customFormat="false" ht="12.75" hidden="false" customHeight="false" outlineLevel="0" collapsed="false">
      <c r="A34" s="9" t="s">
        <v>25</v>
      </c>
      <c r="B34" s="9"/>
      <c r="C34" s="9"/>
      <c r="D34" s="9"/>
      <c r="E34" s="1"/>
      <c r="F34" s="1"/>
      <c r="G34" s="14"/>
      <c r="H34" s="1"/>
      <c r="I34" s="11"/>
    </row>
    <row r="35" customFormat="false" ht="12.75" hidden="false" customHeight="false" outlineLevel="0" collapsed="false">
      <c r="A35" s="9" t="s">
        <v>26</v>
      </c>
      <c r="B35" s="9"/>
      <c r="C35" s="11"/>
      <c r="D35" s="11"/>
      <c r="E35" s="12" t="n">
        <f aca="false">'Financial Swap'!H32/1000</f>
        <v>-7434.45059718559</v>
      </c>
      <c r="F35" s="1"/>
      <c r="G35" s="18"/>
      <c r="H35" s="1"/>
      <c r="I35" s="11"/>
    </row>
    <row r="36" customFormat="false" ht="12.75" hidden="false" customHeight="false" outlineLevel="0" collapsed="false">
      <c r="A36" s="9" t="s">
        <v>27</v>
      </c>
      <c r="B36" s="9"/>
      <c r="C36" s="11"/>
      <c r="D36" s="11"/>
      <c r="E36" s="12" t="n">
        <f aca="false">'Financial Swap'!H38/1000</f>
        <v>-3578.41224918559</v>
      </c>
      <c r="F36" s="1"/>
      <c r="G36" s="18"/>
      <c r="H36" s="1"/>
      <c r="I36" s="11"/>
    </row>
    <row r="37" customFormat="false" ht="12.75" hidden="false" customHeight="false" outlineLevel="0" collapsed="false">
      <c r="A37" s="9" t="s">
        <v>28</v>
      </c>
      <c r="B37" s="9"/>
      <c r="C37" s="11"/>
      <c r="D37" s="11"/>
      <c r="E37" s="12" t="n">
        <f aca="false">'Financial Swap'!H44/1000</f>
        <v>5419.01056281441</v>
      </c>
      <c r="F37" s="1"/>
      <c r="G37" s="18"/>
      <c r="H37" s="1"/>
      <c r="I37" s="11"/>
    </row>
    <row r="38" customFormat="false" ht="12.75" hidden="false" customHeight="false" outlineLevel="0" collapsed="false">
      <c r="A38" s="11"/>
      <c r="B38" s="9"/>
      <c r="C38" s="11"/>
      <c r="D38" s="11"/>
      <c r="E38" s="21"/>
      <c r="F38" s="1"/>
      <c r="G38" s="18"/>
      <c r="H38" s="1"/>
      <c r="I38" s="11"/>
    </row>
    <row r="39" customFormat="false" ht="12.75" hidden="false" customHeight="false" outlineLevel="0" collapsed="false">
      <c r="A39" s="1"/>
      <c r="B39" s="1"/>
      <c r="C39" s="1"/>
      <c r="D39" s="1"/>
      <c r="E39" s="1"/>
      <c r="F39" s="1"/>
      <c r="G39" s="14"/>
      <c r="H39" s="1"/>
      <c r="I39" s="11"/>
    </row>
    <row r="40" customFormat="false" ht="12.75" hidden="false" customHeight="false" outlineLevel="0" collapsed="false">
      <c r="A40" s="1" t="s">
        <v>15</v>
      </c>
      <c r="B40" s="1"/>
      <c r="C40" s="1"/>
      <c r="D40" s="1"/>
      <c r="E40" s="1"/>
      <c r="F40" s="1"/>
      <c r="G40" s="14"/>
      <c r="H40" s="1"/>
      <c r="I40" s="11"/>
    </row>
    <row r="41" customFormat="false" ht="12.75" hidden="false" customHeight="false" outlineLevel="0" collapsed="false">
      <c r="A41" s="1" t="s">
        <v>29</v>
      </c>
      <c r="B41" s="11"/>
      <c r="C41" s="11"/>
      <c r="D41" s="11"/>
      <c r="E41" s="11"/>
      <c r="F41" s="11"/>
      <c r="G41" s="11"/>
      <c r="H41" s="11"/>
      <c r="I41" s="11"/>
    </row>
    <row r="42" customFormat="false" ht="12.75" hidden="false" customHeight="false" outlineLevel="0" collapsed="false">
      <c r="A42" s="1" t="s">
        <v>30</v>
      </c>
      <c r="B42" s="1"/>
      <c r="C42" s="1"/>
      <c r="D42" s="1"/>
      <c r="E42" s="11"/>
      <c r="F42" s="11"/>
      <c r="G42" s="11"/>
      <c r="H42" s="11"/>
      <c r="I42" s="11"/>
    </row>
    <row r="43" customFormat="false" ht="12.75" hidden="false" customHeight="false" outlineLevel="0" collapsed="false">
      <c r="A43" s="1" t="s">
        <v>31</v>
      </c>
      <c r="B43" s="11"/>
      <c r="C43" s="11"/>
      <c r="D43" s="11"/>
      <c r="E43" s="11"/>
      <c r="F43" s="11"/>
      <c r="G43" s="11"/>
      <c r="H43" s="11"/>
      <c r="I43" s="11"/>
    </row>
    <row r="44" customFormat="false" ht="12.75" hidden="false" customHeight="false" outlineLevel="0" collapsed="false">
      <c r="A44" s="1" t="s">
        <v>32</v>
      </c>
      <c r="B44" s="6"/>
      <c r="C44" s="6"/>
      <c r="D44" s="6"/>
      <c r="E44" s="6"/>
      <c r="F44" s="6"/>
      <c r="G44" s="6"/>
      <c r="H44" s="11"/>
      <c r="I44" s="11"/>
    </row>
    <row r="45" customFormat="false" ht="12.75" hidden="false" customHeight="false" outlineLevel="0" collapsed="false">
      <c r="A45" s="6"/>
      <c r="B45" s="6"/>
      <c r="C45" s="6"/>
      <c r="D45" s="6"/>
      <c r="E45" s="6"/>
      <c r="F45" s="6"/>
      <c r="G45" s="6"/>
      <c r="H45" s="6"/>
      <c r="I45" s="6"/>
    </row>
    <row r="46" customFormat="false" ht="12.75" hidden="false" customHeight="false" outlineLevel="0" collapsed="false">
      <c r="A46" s="6"/>
      <c r="B46" s="6"/>
      <c r="C46" s="6"/>
      <c r="D46" s="6"/>
      <c r="E46" s="6"/>
      <c r="F46" s="6"/>
      <c r="G46" s="6"/>
      <c r="H46" s="9"/>
      <c r="I46" s="6"/>
    </row>
    <row r="47" customFormat="false" ht="15.75" hidden="false" customHeight="false" outlineLevel="0" collapsed="false">
      <c r="A47" s="22" t="s">
        <v>33</v>
      </c>
      <c r="H47" s="6"/>
      <c r="I47" s="6"/>
    </row>
    <row r="48" customFormat="false" ht="12.75" hidden="false" customHeight="false" outlineLevel="0" collapsed="false">
      <c r="A48" s="6"/>
      <c r="B48" s="6"/>
      <c r="C48" s="6"/>
      <c r="D48" s="6"/>
      <c r="E48" s="6"/>
      <c r="F48" s="6"/>
      <c r="G48" s="6"/>
      <c r="H48" s="2"/>
      <c r="I48" s="6"/>
    </row>
    <row r="49" customFormat="false" ht="12.75" hidden="false" customHeight="false" outlineLevel="0" collapsed="false">
      <c r="A49" s="1" t="s">
        <v>22</v>
      </c>
      <c r="B49" s="1"/>
      <c r="C49" s="1"/>
      <c r="D49" s="1"/>
      <c r="E49" s="1"/>
      <c r="F49" s="6"/>
      <c r="G49" s="6"/>
      <c r="H49" s="6"/>
      <c r="I49" s="6"/>
    </row>
    <row r="50" customFormat="false" ht="12.75" hidden="false" customHeight="false" outlineLevel="0" collapsed="false">
      <c r="A50" s="1" t="s">
        <v>34</v>
      </c>
      <c r="B50" s="6"/>
      <c r="C50" s="6"/>
      <c r="D50" s="6"/>
      <c r="E50" s="6"/>
      <c r="F50" s="6"/>
      <c r="G50" s="6"/>
      <c r="H50" s="9"/>
      <c r="I50" s="6"/>
    </row>
    <row r="51" customFormat="false" ht="12.75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</row>
    <row r="52" customFormat="false" ht="12.75" hidden="false" customHeight="false" outlineLevel="0" collapsed="false">
      <c r="A52" s="5" t="n">
        <v>1</v>
      </c>
      <c r="B52" s="5"/>
      <c r="C52" s="5"/>
      <c r="D52" s="5"/>
      <c r="E52" s="5"/>
      <c r="F52" s="5"/>
      <c r="G52" s="5"/>
      <c r="H52" s="6"/>
      <c r="I52" s="6"/>
    </row>
    <row r="53" customFormat="false" ht="12.75" hidden="false" customHeight="false" outlineLevel="0" collapsed="false">
      <c r="A53" s="6"/>
      <c r="B53" s="6"/>
      <c r="C53" s="6"/>
      <c r="D53" s="6"/>
      <c r="E53" s="6"/>
      <c r="F53" s="6"/>
      <c r="G53" s="6"/>
      <c r="H53" s="6"/>
      <c r="I53" s="6"/>
    </row>
    <row r="54" customFormat="false" ht="12.75" hidden="false" customHeight="false" outlineLevel="0" collapsed="false">
      <c r="A54" s="6"/>
      <c r="B54" s="6"/>
      <c r="C54" s="6"/>
      <c r="D54" s="6"/>
      <c r="E54" s="6"/>
      <c r="F54" s="6"/>
      <c r="G54" s="6"/>
      <c r="H54" s="6"/>
      <c r="I54" s="6"/>
    </row>
    <row r="55" customFormat="false" ht="12.75" hidden="false" customHeight="false" outlineLevel="0" collapsed="false">
      <c r="A55" s="6"/>
      <c r="B55" s="6"/>
      <c r="C55" s="6"/>
      <c r="D55" s="6"/>
      <c r="E55" s="6"/>
      <c r="F55" s="6"/>
      <c r="G55" s="6"/>
      <c r="H55" s="6"/>
      <c r="I55" s="6"/>
    </row>
    <row r="56" customFormat="false" ht="12.75" hidden="false" customHeight="false" outlineLevel="0" collapsed="false">
      <c r="A56" s="6"/>
      <c r="B56" s="6"/>
      <c r="C56" s="6"/>
      <c r="D56" s="6"/>
      <c r="E56" s="6"/>
      <c r="F56" s="6"/>
      <c r="G56" s="6"/>
      <c r="H56" s="6"/>
      <c r="I56" s="6"/>
    </row>
    <row r="57" customFormat="false" ht="12.75" hidden="false" customHeight="false" outlineLevel="0" collapsed="false">
      <c r="A57" s="6"/>
      <c r="B57" s="6"/>
      <c r="C57" s="6"/>
      <c r="D57" s="6"/>
      <c r="E57" s="6"/>
      <c r="F57" s="6"/>
      <c r="G57" s="6"/>
      <c r="H57" s="6"/>
      <c r="I57" s="6"/>
    </row>
    <row r="58" customFormat="false" ht="12.75" hidden="false" customHeight="false" outlineLevel="0" collapsed="false">
      <c r="A58" s="6"/>
      <c r="B58" s="6"/>
      <c r="C58" s="6"/>
      <c r="D58" s="6"/>
      <c r="E58" s="6"/>
      <c r="F58" s="6"/>
      <c r="G58" s="6"/>
      <c r="H58" s="6"/>
      <c r="I58" s="6"/>
    </row>
    <row r="59" customFormat="false" ht="12.75" hidden="false" customHeight="false" outlineLevel="0" collapsed="false">
      <c r="A59" s="6"/>
      <c r="B59" s="6"/>
      <c r="C59" s="6"/>
      <c r="D59" s="6"/>
      <c r="E59" s="6"/>
      <c r="F59" s="6"/>
      <c r="G59" s="6"/>
      <c r="H59" s="6"/>
      <c r="I59" s="6"/>
    </row>
    <row r="60" customFormat="false" ht="12.75" hidden="false" customHeight="false" outlineLevel="0" collapsed="false">
      <c r="A60" s="6"/>
      <c r="B60" s="6"/>
      <c r="C60" s="6"/>
      <c r="D60" s="6"/>
      <c r="E60" s="6"/>
      <c r="F60" s="6"/>
      <c r="G60" s="6"/>
      <c r="H60" s="6"/>
      <c r="I60" s="6"/>
    </row>
    <row r="61" customFormat="false" ht="12.75" hidden="false" customHeight="false" outlineLevel="0" collapsed="false">
      <c r="A61" s="6"/>
      <c r="B61" s="6"/>
      <c r="C61" s="6"/>
      <c r="D61" s="6"/>
      <c r="E61" s="6"/>
      <c r="F61" s="6"/>
      <c r="G61" s="6"/>
      <c r="H61" s="6"/>
      <c r="I61" s="6"/>
    </row>
    <row r="62" customFormat="false" ht="12.75" hidden="false" customHeight="false" outlineLevel="0" collapsed="false">
      <c r="A62" s="6"/>
      <c r="B62" s="6"/>
      <c r="C62" s="6"/>
      <c r="D62" s="6"/>
      <c r="E62" s="6"/>
      <c r="F62" s="6"/>
      <c r="G62" s="6"/>
      <c r="H62" s="6"/>
      <c r="I62" s="6"/>
    </row>
    <row r="63" customFormat="false" ht="12.75" hidden="false" customHeight="false" outlineLevel="0" collapsed="false">
      <c r="A63" s="6"/>
      <c r="B63" s="6"/>
      <c r="C63" s="6"/>
      <c r="D63" s="6"/>
      <c r="E63" s="6"/>
      <c r="F63" s="6"/>
      <c r="G63" s="6"/>
      <c r="H63" s="6"/>
      <c r="I63" s="6"/>
    </row>
    <row r="64" customFormat="false" ht="12.75" hidden="false" customHeight="false" outlineLevel="0" collapsed="false">
      <c r="A64" s="6"/>
      <c r="B64" s="6"/>
      <c r="C64" s="6"/>
      <c r="D64" s="6"/>
      <c r="E64" s="6"/>
      <c r="F64" s="6"/>
      <c r="G64" s="6"/>
      <c r="H64" s="6"/>
      <c r="I64" s="6"/>
    </row>
    <row r="65" customFormat="false" ht="12.75" hidden="false" customHeight="false" outlineLevel="0" collapsed="false">
      <c r="A65" s="6"/>
      <c r="B65" s="6"/>
      <c r="C65" s="6"/>
      <c r="D65" s="6"/>
      <c r="E65" s="6"/>
      <c r="F65" s="6"/>
      <c r="G65" s="6"/>
      <c r="H65" s="6"/>
      <c r="I65" s="6"/>
    </row>
    <row r="66" customFormat="false" ht="12.75" hidden="false" customHeight="false" outlineLevel="0" collapsed="false">
      <c r="A66" s="6"/>
      <c r="B66" s="6"/>
      <c r="C66" s="6"/>
      <c r="D66" s="6"/>
      <c r="E66" s="6"/>
      <c r="F66" s="6"/>
      <c r="G66" s="6"/>
      <c r="H66" s="6"/>
      <c r="I66" s="6"/>
    </row>
    <row r="67" customFormat="false" ht="12.75" hidden="false" customHeight="false" outlineLevel="0" collapsed="false">
      <c r="A67" s="6"/>
      <c r="B67" s="6"/>
      <c r="C67" s="6"/>
      <c r="D67" s="6"/>
      <c r="E67" s="6"/>
      <c r="F67" s="6"/>
      <c r="G67" s="6"/>
      <c r="H67" s="6"/>
      <c r="I67" s="6"/>
    </row>
    <row r="68" customFormat="false" ht="12.75" hidden="false" customHeight="false" outlineLevel="0" collapsed="false">
      <c r="A68" s="6"/>
      <c r="B68" s="6"/>
      <c r="C68" s="6"/>
      <c r="D68" s="6"/>
      <c r="E68" s="6"/>
      <c r="F68" s="6"/>
      <c r="G68" s="6"/>
      <c r="H68" s="6"/>
      <c r="I68" s="6"/>
    </row>
    <row r="69" customFormat="false" ht="12.75" hidden="false" customHeight="false" outlineLevel="0" collapsed="false">
      <c r="A69" s="6"/>
      <c r="B69" s="6"/>
      <c r="C69" s="6"/>
      <c r="D69" s="6"/>
      <c r="E69" s="6"/>
      <c r="F69" s="6"/>
      <c r="G69" s="6"/>
      <c r="H69" s="6"/>
      <c r="I69" s="6"/>
    </row>
    <row r="70" customFormat="false" ht="12.75" hidden="false" customHeight="false" outlineLevel="0" collapsed="false">
      <c r="A70" s="6"/>
      <c r="B70" s="6"/>
      <c r="C70" s="6"/>
      <c r="D70" s="6"/>
      <c r="E70" s="6"/>
      <c r="F70" s="6"/>
      <c r="G70" s="6"/>
      <c r="H70" s="6"/>
    </row>
    <row r="71" customFormat="false" ht="12.75" hidden="false" customHeight="false" outlineLevel="0" collapsed="false">
      <c r="A71" s="6"/>
      <c r="B71" s="6"/>
      <c r="C71" s="6"/>
      <c r="D71" s="6"/>
      <c r="E71" s="6"/>
      <c r="F71" s="6"/>
      <c r="G71" s="6"/>
      <c r="H71" s="6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6"/>
      <c r="G72" s="6"/>
      <c r="H72" s="6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6"/>
      <c r="G73" s="6"/>
      <c r="H73" s="6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6"/>
      <c r="G74" s="6"/>
      <c r="H74" s="6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6"/>
      <c r="G75" s="6"/>
      <c r="H75" s="6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6"/>
      <c r="G76" s="6"/>
      <c r="H76" s="6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6"/>
      <c r="G77" s="6"/>
      <c r="H77" s="6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6"/>
      <c r="G78" s="6"/>
      <c r="H78" s="6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6"/>
      <c r="G79" s="6"/>
      <c r="H79" s="6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6"/>
      <c r="G80" s="6"/>
      <c r="H80" s="6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6"/>
      <c r="G81" s="6"/>
      <c r="H81" s="6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6"/>
      <c r="G82" s="6"/>
      <c r="H82" s="6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6"/>
      <c r="G83" s="6"/>
      <c r="H83" s="6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6"/>
      <c r="G84" s="6"/>
      <c r="H84" s="6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6"/>
      <c r="G85" s="6"/>
      <c r="H85" s="6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6"/>
      <c r="G86" s="6"/>
      <c r="H86" s="6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6"/>
      <c r="G87" s="6"/>
      <c r="H87" s="6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6"/>
      <c r="G88" s="6"/>
      <c r="H88" s="6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6"/>
      <c r="G89" s="6"/>
      <c r="H89" s="6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6"/>
      <c r="G90" s="6"/>
      <c r="H90" s="6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6"/>
      <c r="G91" s="6"/>
      <c r="H91" s="6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6"/>
      <c r="G92" s="6"/>
      <c r="H92" s="6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6"/>
      <c r="G93" s="6"/>
      <c r="H93" s="6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6"/>
      <c r="G94" s="6"/>
      <c r="H94" s="6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6"/>
      <c r="G95" s="6"/>
      <c r="H95" s="6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6"/>
      <c r="G96" s="6"/>
      <c r="H96" s="6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6"/>
      <c r="G97" s="6"/>
      <c r="H97" s="6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6"/>
      <c r="G98" s="6"/>
      <c r="H98" s="6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6"/>
      <c r="G99" s="6"/>
      <c r="H99" s="6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6"/>
      <c r="G100" s="6"/>
      <c r="H100" s="6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6"/>
      <c r="G101" s="6"/>
      <c r="H101" s="6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6"/>
      <c r="G102" s="6"/>
      <c r="H102" s="6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6"/>
      <c r="G103" s="6"/>
      <c r="H103" s="6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6"/>
      <c r="G104" s="6"/>
      <c r="H104" s="6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6"/>
      <c r="G105" s="6"/>
      <c r="H105" s="6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6"/>
      <c r="G106" s="6"/>
      <c r="H106" s="6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6"/>
      <c r="G107" s="6"/>
      <c r="H107" s="6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6"/>
      <c r="G108" s="6"/>
      <c r="H108" s="6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6"/>
      <c r="G109" s="6"/>
      <c r="H109" s="6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6"/>
      <c r="G110" s="6"/>
      <c r="H110" s="6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6"/>
      <c r="G111" s="6"/>
      <c r="H111" s="6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6"/>
      <c r="G112" s="6"/>
      <c r="H112" s="6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6"/>
      <c r="G113" s="6"/>
      <c r="H113" s="6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6"/>
      <c r="G114" s="6"/>
      <c r="H114" s="6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6"/>
      <c r="G115" s="6"/>
      <c r="H115" s="6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6"/>
      <c r="G116" s="6"/>
      <c r="H116" s="6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6"/>
      <c r="G117" s="6"/>
      <c r="H117" s="6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6"/>
      <c r="G118" s="6"/>
      <c r="H118" s="6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6"/>
      <c r="G119" s="6"/>
      <c r="H119" s="6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6"/>
      <c r="G120" s="6"/>
      <c r="H120" s="6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6"/>
      <c r="G121" s="6"/>
      <c r="H121" s="6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6"/>
      <c r="G122" s="6"/>
      <c r="H122" s="6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6"/>
      <c r="G123" s="6"/>
      <c r="H123" s="6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6"/>
      <c r="G124" s="6"/>
      <c r="H124" s="6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6"/>
      <c r="G125" s="6"/>
      <c r="H125" s="6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6"/>
      <c r="G126" s="6"/>
      <c r="H126" s="6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6"/>
      <c r="G127" s="6"/>
      <c r="H127" s="6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6"/>
      <c r="G128" s="6"/>
      <c r="H128" s="6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6"/>
      <c r="G129" s="6"/>
      <c r="H129" s="6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6"/>
      <c r="G130" s="6"/>
      <c r="H130" s="6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6"/>
      <c r="G131" s="6"/>
      <c r="H131" s="6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6"/>
      <c r="G132" s="6"/>
      <c r="H132" s="6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6"/>
      <c r="G133" s="6"/>
      <c r="H133" s="6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6"/>
      <c r="G134" s="6"/>
      <c r="H134" s="6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6"/>
      <c r="G135" s="6"/>
      <c r="H135" s="6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6"/>
      <c r="G136" s="6"/>
      <c r="H136" s="6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6"/>
      <c r="G137" s="6"/>
      <c r="H137" s="6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6"/>
      <c r="G138" s="6"/>
      <c r="H138" s="6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6"/>
      <c r="G139" s="6"/>
      <c r="H139" s="6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6"/>
      <c r="G140" s="6"/>
      <c r="H140" s="6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6"/>
      <c r="G141" s="6"/>
      <c r="H141" s="6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6"/>
      <c r="G142" s="6"/>
      <c r="H142" s="6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6"/>
      <c r="G143" s="6"/>
      <c r="H143" s="6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6"/>
      <c r="G144" s="6"/>
      <c r="H144" s="6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6"/>
      <c r="G145" s="6"/>
      <c r="H145" s="6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6"/>
      <c r="G146" s="6"/>
      <c r="H146" s="6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6"/>
      <c r="G147" s="6"/>
      <c r="H147" s="6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6"/>
      <c r="G148" s="6"/>
      <c r="H148" s="6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6"/>
      <c r="G149" s="6"/>
      <c r="H149" s="6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6"/>
      <c r="G150" s="6"/>
      <c r="H150" s="6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6"/>
      <c r="G151" s="6"/>
      <c r="H151" s="6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6"/>
      <c r="G152" s="6"/>
      <c r="H152" s="6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6"/>
      <c r="G153" s="6"/>
      <c r="H153" s="6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6"/>
      <c r="G154" s="6"/>
      <c r="H154" s="6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6"/>
      <c r="G155" s="6"/>
      <c r="H155" s="6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6"/>
      <c r="G156" s="6"/>
      <c r="H156" s="6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6"/>
      <c r="G157" s="6"/>
      <c r="H157" s="6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6"/>
      <c r="G158" s="6"/>
      <c r="H158" s="6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6"/>
      <c r="G159" s="6"/>
      <c r="H159" s="6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6"/>
      <c r="G160" s="6"/>
      <c r="H160" s="6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6"/>
      <c r="G161" s="6"/>
      <c r="H161" s="6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6"/>
      <c r="G162" s="6"/>
      <c r="H162" s="6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6"/>
      <c r="G163" s="6"/>
      <c r="H163" s="6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6"/>
      <c r="G164" s="6"/>
      <c r="H164" s="6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6"/>
      <c r="G165" s="6"/>
      <c r="H165" s="6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6"/>
      <c r="G166" s="6"/>
      <c r="H166" s="6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6"/>
      <c r="G167" s="6"/>
      <c r="H167" s="6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6"/>
      <c r="G168" s="6"/>
      <c r="H168" s="6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6"/>
      <c r="G169" s="6"/>
      <c r="H169" s="6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6"/>
      <c r="G170" s="6"/>
      <c r="H170" s="6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6"/>
      <c r="G171" s="6"/>
      <c r="H171" s="6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6"/>
      <c r="G172" s="6"/>
      <c r="H172" s="6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6"/>
      <c r="G173" s="6"/>
      <c r="H173" s="6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6"/>
      <c r="G174" s="6"/>
      <c r="H174" s="6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6"/>
      <c r="G175" s="6"/>
      <c r="H175" s="6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6"/>
      <c r="G176" s="6"/>
      <c r="H176" s="6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6"/>
      <c r="G177" s="6"/>
      <c r="H177" s="6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6"/>
      <c r="G178" s="6"/>
      <c r="H178" s="6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6"/>
      <c r="G179" s="6"/>
      <c r="H179" s="6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6"/>
      <c r="G180" s="6"/>
      <c r="H180" s="6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6"/>
      <c r="G181" s="6"/>
      <c r="H181" s="6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6"/>
      <c r="G182" s="6"/>
      <c r="H182" s="6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6"/>
      <c r="G183" s="6"/>
      <c r="H183" s="6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6"/>
      <c r="G184" s="6"/>
      <c r="H184" s="6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6"/>
      <c r="G185" s="6"/>
      <c r="H185" s="6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6"/>
      <c r="G186" s="6"/>
      <c r="H186" s="6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6"/>
      <c r="G187" s="6"/>
      <c r="H187" s="6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6"/>
      <c r="G188" s="6"/>
      <c r="H188" s="6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6"/>
      <c r="G189" s="6"/>
      <c r="H189" s="6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6"/>
      <c r="G190" s="6"/>
      <c r="H190" s="6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6"/>
      <c r="G191" s="6"/>
      <c r="H191" s="6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6"/>
      <c r="G192" s="6"/>
      <c r="H192" s="6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6"/>
      <c r="G193" s="6"/>
      <c r="H193" s="6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6"/>
      <c r="G194" s="6"/>
      <c r="H194" s="6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6"/>
      <c r="G195" s="6"/>
      <c r="H195" s="6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6"/>
      <c r="G196" s="6"/>
      <c r="H196" s="6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6"/>
      <c r="G197" s="6"/>
      <c r="H197" s="6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6"/>
      <c r="G198" s="6"/>
      <c r="H198" s="6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6"/>
      <c r="G199" s="6"/>
      <c r="H199" s="6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6"/>
      <c r="G200" s="6"/>
      <c r="H200" s="6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6"/>
      <c r="G201" s="6"/>
      <c r="H201" s="6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6"/>
      <c r="G202" s="6"/>
      <c r="H202" s="6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6"/>
      <c r="G203" s="6"/>
      <c r="H203" s="6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6"/>
      <c r="G204" s="6"/>
      <c r="H204" s="6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6"/>
      <c r="G205" s="6"/>
      <c r="H205" s="6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6"/>
      <c r="G206" s="6"/>
      <c r="H206" s="6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6"/>
      <c r="G207" s="6"/>
      <c r="H207" s="6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6"/>
      <c r="G208" s="6"/>
      <c r="H208" s="6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6"/>
      <c r="G209" s="6"/>
      <c r="H209" s="6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6"/>
      <c r="G210" s="6"/>
      <c r="H210" s="6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6"/>
      <c r="G211" s="6"/>
      <c r="H211" s="6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6"/>
      <c r="G212" s="6"/>
      <c r="H212" s="6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6"/>
      <c r="G213" s="6"/>
      <c r="H213" s="6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6"/>
      <c r="G214" s="6"/>
      <c r="H214" s="6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6"/>
      <c r="G215" s="6"/>
      <c r="H215" s="6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6"/>
      <c r="G216" s="6"/>
      <c r="H216" s="6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6"/>
      <c r="G217" s="6"/>
      <c r="H217" s="6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6"/>
      <c r="G218" s="6"/>
      <c r="H218" s="6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6"/>
      <c r="G219" s="6"/>
      <c r="H219" s="6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6"/>
      <c r="G220" s="6"/>
      <c r="H220" s="6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6"/>
      <c r="G221" s="6"/>
      <c r="H221" s="6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6"/>
      <c r="G222" s="6"/>
      <c r="H222" s="6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6"/>
      <c r="G223" s="6"/>
      <c r="H223" s="6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6"/>
      <c r="G224" s="6"/>
      <c r="H224" s="6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6"/>
      <c r="G225" s="6"/>
      <c r="H225" s="6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6"/>
      <c r="G226" s="6"/>
      <c r="H226" s="6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6"/>
      <c r="G227" s="6"/>
      <c r="H227" s="6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6"/>
      <c r="G228" s="6"/>
      <c r="H228" s="6"/>
    </row>
  </sheetData>
  <mergeCells count="5">
    <mergeCell ref="A3:H3"/>
    <mergeCell ref="A4:H4"/>
    <mergeCell ref="A5:H5"/>
    <mergeCell ref="C7:E7"/>
    <mergeCell ref="A52:G5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2" activeCellId="0" sqref="B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13.56"/>
    <col collapsed="false" customWidth="true" hidden="false" outlineLevel="0" max="3" min="3" style="0" width="11.28"/>
    <col collapsed="false" customWidth="true" hidden="false" outlineLevel="0" max="4" min="4" style="0" width="10.56"/>
    <col collapsed="false" customWidth="true" hidden="false" outlineLevel="0" max="5" min="5" style="0" width="10.85"/>
    <col collapsed="false" customWidth="true" hidden="false" outlineLevel="0" max="6" min="6" style="0" width="11.28"/>
  </cols>
  <sheetData>
    <row r="1" customFormat="false" ht="12.75" hidden="false" customHeight="false" outlineLevel="0" collapsed="false">
      <c r="A1" s="170" t="s">
        <v>169</v>
      </c>
      <c r="B1" s="170"/>
      <c r="C1" s="170"/>
      <c r="D1" s="170"/>
      <c r="E1" s="170"/>
      <c r="F1" s="170"/>
      <c r="G1" s="34"/>
      <c r="H1" s="34"/>
    </row>
    <row r="2" customFormat="false" ht="12.75" hidden="false" customHeight="false" outlineLevel="0" collapsed="false">
      <c r="A2" s="170" t="s">
        <v>171</v>
      </c>
      <c r="B2" s="170"/>
      <c r="C2" s="170"/>
      <c r="D2" s="170"/>
      <c r="E2" s="170"/>
      <c r="F2" s="170"/>
      <c r="G2" s="34"/>
      <c r="H2" s="34"/>
    </row>
    <row r="3" customFormat="false" ht="12.75" hidden="false" customHeight="false" outlineLevel="0" collapsed="false">
      <c r="A3" s="170" t="s">
        <v>3</v>
      </c>
      <c r="B3" s="170"/>
      <c r="C3" s="170"/>
      <c r="D3" s="170"/>
      <c r="E3" s="170"/>
      <c r="F3" s="170"/>
      <c r="G3" s="34"/>
      <c r="H3" s="34"/>
    </row>
    <row r="4" customFormat="false" ht="12.75" hidden="false" customHeight="false" outlineLevel="0" collapsed="false">
      <c r="A4" s="171"/>
      <c r="B4" s="171"/>
      <c r="C4" s="171"/>
      <c r="D4" s="171"/>
      <c r="E4" s="171"/>
      <c r="F4" s="171"/>
      <c r="G4" s="34"/>
      <c r="H4" s="34"/>
    </row>
    <row r="5" customFormat="false" ht="12.75" hidden="false" customHeight="false" outlineLevel="0" collapsed="false">
      <c r="A5" s="171" t="s">
        <v>207</v>
      </c>
      <c r="B5" s="171" t="s">
        <v>208</v>
      </c>
      <c r="C5" s="171" t="s">
        <v>59</v>
      </c>
      <c r="D5" s="34"/>
      <c r="E5" s="34"/>
      <c r="F5" s="170"/>
      <c r="G5" s="170"/>
      <c r="H5" s="170"/>
    </row>
    <row r="6" customFormat="false" ht="12.75" hidden="false" customHeight="false" outlineLevel="0" collapsed="false">
      <c r="A6" s="34"/>
      <c r="B6" s="171" t="s">
        <v>209</v>
      </c>
      <c r="C6" s="171" t="s">
        <v>68</v>
      </c>
      <c r="D6" s="34"/>
      <c r="E6" s="34"/>
      <c r="F6" s="34"/>
      <c r="G6" s="34"/>
      <c r="H6" s="34"/>
    </row>
    <row r="7" customFormat="false" ht="12.75" hidden="false" customHeight="false" outlineLevel="0" collapsed="false">
      <c r="A7" s="23" t="s">
        <v>71</v>
      </c>
      <c r="B7" s="171"/>
      <c r="C7" s="34"/>
      <c r="D7" s="34"/>
      <c r="E7" s="34"/>
      <c r="F7" s="34"/>
      <c r="G7" s="34"/>
      <c r="H7" s="34"/>
    </row>
    <row r="8" customFormat="false" ht="12.75" hidden="false" customHeight="false" outlineLevel="0" collapsed="false">
      <c r="A8" s="23" t="s">
        <v>210</v>
      </c>
      <c r="B8" s="172" t="n">
        <f aca="false">'Detail by Transaction Type'!B9+'Detail by Transaction Type'!B10</f>
        <v>403949</v>
      </c>
      <c r="C8" s="173" t="n">
        <f aca="false">B8*0.6</f>
        <v>242369.4</v>
      </c>
      <c r="D8" s="173"/>
      <c r="E8" s="34"/>
      <c r="F8" s="34"/>
      <c r="G8" s="174"/>
      <c r="H8" s="34"/>
    </row>
    <row r="9" customFormat="false" ht="13.5" hidden="false" customHeight="false" outlineLevel="0" collapsed="false">
      <c r="A9" s="23" t="s">
        <v>211</v>
      </c>
      <c r="B9" s="175" t="n">
        <f aca="false">SUM(B8)</f>
        <v>403949</v>
      </c>
      <c r="C9" s="175" t="n">
        <f aca="false">SUM(C8)</f>
        <v>242369.4</v>
      </c>
      <c r="D9" s="173"/>
      <c r="E9" s="34"/>
      <c r="F9" s="34"/>
      <c r="G9" s="34"/>
      <c r="H9" s="34"/>
    </row>
    <row r="10" customFormat="false" ht="13.5" hidden="false" customHeight="false" outlineLevel="0" collapsed="false">
      <c r="A10" s="34"/>
      <c r="B10" s="173"/>
      <c r="C10" s="173"/>
      <c r="D10" s="173"/>
      <c r="E10" s="34"/>
      <c r="F10" s="34"/>
      <c r="G10" s="34"/>
      <c r="H10" s="34"/>
    </row>
    <row r="11" customFormat="false" ht="12.75" hidden="false" customHeight="false" outlineLevel="0" collapsed="false">
      <c r="A11" s="23" t="s">
        <v>212</v>
      </c>
      <c r="B11" s="173"/>
      <c r="C11" s="173"/>
      <c r="D11" s="173"/>
      <c r="E11" s="34"/>
      <c r="F11" s="34"/>
      <c r="G11" s="34"/>
      <c r="H11" s="34"/>
    </row>
    <row r="12" customFormat="false" ht="12.75" hidden="false" customHeight="false" outlineLevel="0" collapsed="false">
      <c r="A12" s="23" t="s">
        <v>213</v>
      </c>
      <c r="B12" s="173" t="n">
        <v>42575</v>
      </c>
      <c r="C12" s="173" t="n">
        <v>22000</v>
      </c>
      <c r="D12" s="173"/>
      <c r="E12" s="34"/>
      <c r="F12" s="34"/>
      <c r="G12" s="34"/>
      <c r="H12" s="34"/>
    </row>
    <row r="13" customFormat="false" ht="12.75" hidden="false" customHeight="false" outlineLevel="0" collapsed="false">
      <c r="A13" s="176"/>
      <c r="D13" s="173"/>
      <c r="E13" s="34"/>
      <c r="F13" s="34"/>
      <c r="G13" s="34"/>
      <c r="H13" s="34"/>
    </row>
    <row r="14" customFormat="false" ht="12.75" hidden="false" customHeight="false" outlineLevel="0" collapsed="false">
      <c r="A14" s="23" t="s">
        <v>214</v>
      </c>
      <c r="B14" s="173" t="n">
        <f aca="false">'Detail by Transaction Type'!B24</f>
        <v>33838</v>
      </c>
      <c r="C14" s="173" t="n">
        <f aca="false">'Detail by Transaction Type'!C24</f>
        <v>33838</v>
      </c>
      <c r="D14" s="173"/>
      <c r="E14" s="34"/>
      <c r="F14" s="34"/>
      <c r="G14" s="34"/>
      <c r="H14" s="34"/>
    </row>
    <row r="15" customFormat="false" ht="12.75" hidden="false" customHeight="false" outlineLevel="0" collapsed="false">
      <c r="A15" s="34"/>
      <c r="B15" s="34"/>
      <c r="C15" s="34"/>
      <c r="D15" s="34"/>
      <c r="E15" s="34"/>
      <c r="F15" s="34"/>
      <c r="G15" s="34"/>
      <c r="H15" s="34"/>
    </row>
    <row r="16" customFormat="false" ht="12.75" hidden="false" customHeight="false" outlineLevel="0" collapsed="false">
      <c r="A16" s="23" t="s">
        <v>215</v>
      </c>
      <c r="B16" s="173" t="n">
        <v>187</v>
      </c>
      <c r="C16" s="173" t="n">
        <f aca="false">'Detail by Transaction Type'!C38</f>
        <v>0</v>
      </c>
      <c r="D16" s="173"/>
      <c r="E16" s="34"/>
      <c r="F16" s="34"/>
      <c r="G16" s="34"/>
      <c r="H16" s="34"/>
    </row>
    <row r="17" customFormat="false" ht="12.75" hidden="false" customHeight="false" outlineLevel="0" collapsed="false">
      <c r="A17" s="34"/>
      <c r="B17" s="147"/>
      <c r="C17" s="77"/>
      <c r="D17" s="77"/>
      <c r="E17" s="34"/>
      <c r="F17" s="34"/>
      <c r="G17" s="34"/>
      <c r="H17" s="34"/>
    </row>
    <row r="18" customFormat="false" ht="13.5" hidden="false" customHeight="false" outlineLevel="0" collapsed="false">
      <c r="A18" s="23" t="s">
        <v>216</v>
      </c>
      <c r="B18" s="177" t="n">
        <f aca="false">SUM(B12:B16)</f>
        <v>76600</v>
      </c>
      <c r="C18" s="177" t="n">
        <f aca="false">SUM(C12:C16)</f>
        <v>55838</v>
      </c>
      <c r="D18" s="77"/>
      <c r="E18" s="34"/>
      <c r="F18" s="34"/>
      <c r="G18" s="34"/>
      <c r="H18" s="34"/>
    </row>
    <row r="19" customFormat="false" ht="13.5" hidden="false" customHeight="false" outlineLevel="0" collapsed="false">
      <c r="A19" s="34"/>
      <c r="B19" s="147"/>
      <c r="C19" s="77"/>
      <c r="D19" s="77"/>
      <c r="E19" s="34"/>
      <c r="F19" s="34"/>
      <c r="G19" s="34"/>
      <c r="H19" s="34"/>
    </row>
    <row r="20" customFormat="false" ht="12.75" hidden="false" customHeight="false" outlineLevel="0" collapsed="false">
      <c r="A20" s="23" t="s">
        <v>79</v>
      </c>
      <c r="B20" s="147"/>
      <c r="C20" s="77"/>
      <c r="D20" s="77"/>
      <c r="E20" s="34"/>
      <c r="F20" s="34"/>
      <c r="G20" s="34"/>
      <c r="H20" s="34"/>
    </row>
    <row r="21" customFormat="false" ht="12.75" hidden="false" customHeight="false" outlineLevel="0" collapsed="false">
      <c r="A21" s="176" t="s">
        <v>217</v>
      </c>
      <c r="B21" s="173" t="n">
        <v>3482</v>
      </c>
      <c r="C21" s="77"/>
      <c r="D21" s="77"/>
      <c r="E21" s="34"/>
      <c r="F21" s="34"/>
      <c r="G21" s="34"/>
      <c r="H21" s="176"/>
      <c r="I21" s="156"/>
    </row>
    <row r="22" customFormat="false" ht="13.5" hidden="false" customHeight="false" outlineLevel="0" collapsed="false">
      <c r="A22" s="178" t="s">
        <v>218</v>
      </c>
      <c r="B22" s="175" t="n">
        <f aca="false">SUM(B21)</f>
        <v>3482</v>
      </c>
      <c r="C22" s="175" t="n">
        <f aca="false">SUM(C21)</f>
        <v>0</v>
      </c>
      <c r="D22" s="77"/>
      <c r="E22" s="34"/>
      <c r="F22" s="34"/>
      <c r="G22" s="34"/>
      <c r="H22" s="176"/>
      <c r="I22" s="156"/>
    </row>
    <row r="23" customFormat="false" ht="13.5" hidden="false" customHeight="false" outlineLevel="0" collapsed="false">
      <c r="A23" s="176"/>
      <c r="B23" s="173"/>
      <c r="C23" s="77"/>
      <c r="D23" s="77"/>
      <c r="E23" s="34"/>
      <c r="F23" s="34"/>
      <c r="G23" s="34"/>
      <c r="H23" s="34"/>
    </row>
    <row r="24" customFormat="false" ht="12.75" hidden="false" customHeight="false" outlineLevel="0" collapsed="false">
      <c r="A24" s="178" t="s">
        <v>187</v>
      </c>
      <c r="B24" s="173"/>
      <c r="C24" s="77"/>
      <c r="D24" s="77"/>
      <c r="E24" s="34"/>
      <c r="F24" s="34"/>
      <c r="G24" s="34"/>
      <c r="H24" s="34"/>
    </row>
    <row r="25" customFormat="false" ht="12.75" hidden="false" customHeight="false" outlineLevel="0" collapsed="false">
      <c r="A25" s="23" t="s">
        <v>213</v>
      </c>
      <c r="B25" s="77"/>
      <c r="C25" s="77"/>
      <c r="D25" s="77"/>
      <c r="E25" s="34"/>
      <c r="F25" s="34"/>
      <c r="G25" s="34"/>
      <c r="H25" s="34"/>
    </row>
    <row r="26" customFormat="false" ht="12.75" hidden="false" customHeight="false" outlineLevel="0" collapsed="false">
      <c r="A26" s="34" t="s">
        <v>219</v>
      </c>
      <c r="B26" s="77" t="n">
        <f aca="false">'Detail by Transaction Type'!B60</f>
        <v>71308</v>
      </c>
      <c r="C26" s="77"/>
      <c r="D26" s="77"/>
      <c r="E26" s="34"/>
      <c r="F26" s="34"/>
      <c r="G26" s="34"/>
      <c r="H26" s="34"/>
    </row>
    <row r="27" customFormat="false" ht="12.75" hidden="false" customHeight="false" outlineLevel="0" collapsed="false">
      <c r="A27" s="34" t="s">
        <v>220</v>
      </c>
      <c r="B27" s="179" t="n">
        <f aca="false">'Detail by Transaction Type'!B65</f>
        <v>-8422</v>
      </c>
      <c r="C27" s="179"/>
      <c r="D27" s="77"/>
      <c r="E27" s="34"/>
      <c r="F27" s="34"/>
      <c r="G27" s="34"/>
      <c r="H27" s="34"/>
    </row>
    <row r="28" customFormat="false" ht="12.75" hidden="false" customHeight="false" outlineLevel="0" collapsed="false">
      <c r="A28" s="34"/>
      <c r="B28" s="77" t="n">
        <f aca="false">SUM(B26:B27)</f>
        <v>62886</v>
      </c>
      <c r="C28" s="77" t="n">
        <f aca="false">SUM(C26:C27)</f>
        <v>0</v>
      </c>
      <c r="D28" s="77"/>
      <c r="E28" s="34"/>
      <c r="F28" s="34"/>
      <c r="G28" s="34"/>
      <c r="H28" s="34"/>
    </row>
    <row r="29" customFormat="false" ht="12.75" hidden="false" customHeight="false" outlineLevel="0" collapsed="false">
      <c r="A29" s="23" t="s">
        <v>215</v>
      </c>
      <c r="B29" s="77"/>
      <c r="C29" s="77"/>
      <c r="D29" s="77"/>
      <c r="E29" s="34"/>
      <c r="F29" s="34"/>
      <c r="G29" s="34"/>
      <c r="H29" s="34"/>
    </row>
    <row r="30" customFormat="false" ht="12.75" hidden="false" customHeight="false" outlineLevel="0" collapsed="false">
      <c r="A30" s="34" t="s">
        <v>221</v>
      </c>
      <c r="B30" s="77" t="n">
        <f aca="false">'Detail by Transaction Type'!B74</f>
        <v>18734</v>
      </c>
      <c r="C30" s="77"/>
      <c r="D30" s="77"/>
      <c r="E30" s="34"/>
      <c r="F30" s="34"/>
      <c r="G30" s="34"/>
      <c r="H30" s="34"/>
    </row>
    <row r="31" customFormat="false" ht="12.75" hidden="false" customHeight="false" outlineLevel="0" collapsed="false">
      <c r="A31" s="34" t="s">
        <v>220</v>
      </c>
      <c r="B31" s="179" t="n">
        <f aca="false">'Detail by Transaction Type'!B82</f>
        <v>-9663</v>
      </c>
      <c r="C31" s="179"/>
      <c r="D31" s="77"/>
      <c r="E31" s="34"/>
      <c r="F31" s="34"/>
      <c r="G31" s="34"/>
      <c r="H31" s="34"/>
    </row>
    <row r="32" customFormat="false" ht="12.75" hidden="false" customHeight="false" outlineLevel="0" collapsed="false">
      <c r="A32" s="34"/>
      <c r="B32" s="77" t="n">
        <f aca="false">SUM(B30:B31)</f>
        <v>9071</v>
      </c>
      <c r="C32" s="77" t="n">
        <f aca="false">SUM(C30:C31)</f>
        <v>0</v>
      </c>
      <c r="D32" s="77"/>
      <c r="E32" s="34"/>
      <c r="F32" s="34"/>
      <c r="G32" s="34"/>
      <c r="H32" s="34"/>
    </row>
    <row r="33" customFormat="false" ht="12.75" hidden="false" customHeight="false" outlineLevel="0" collapsed="false">
      <c r="A33" s="34"/>
      <c r="B33" s="180"/>
      <c r="C33" s="180"/>
      <c r="D33" s="77"/>
      <c r="E33" s="34"/>
      <c r="F33" s="34"/>
      <c r="G33" s="34"/>
      <c r="H33" s="34"/>
    </row>
    <row r="34" customFormat="false" ht="13.5" hidden="false" customHeight="false" outlineLevel="0" collapsed="false">
      <c r="A34" s="23" t="str">
        <f aca="false">'Detail by Transaction Type'!A84</f>
        <v>Total Portland General </v>
      </c>
      <c r="B34" s="90" t="n">
        <f aca="false">B28+B32</f>
        <v>71957</v>
      </c>
      <c r="C34" s="90" t="n">
        <f aca="false">B34*0.25</f>
        <v>17989.25</v>
      </c>
      <c r="D34" s="77"/>
      <c r="E34" s="34"/>
      <c r="F34" s="34"/>
      <c r="G34" s="34"/>
      <c r="H34" s="34"/>
    </row>
    <row r="35" customFormat="false" ht="13.5" hidden="false" customHeight="false" outlineLevel="0" collapsed="false">
      <c r="A35" s="34"/>
      <c r="B35" s="77"/>
      <c r="C35" s="77"/>
      <c r="D35" s="77"/>
      <c r="E35" s="34"/>
      <c r="F35" s="34"/>
      <c r="G35" s="34"/>
      <c r="H35" s="34"/>
    </row>
    <row r="36" customFormat="false" ht="12.75" hidden="false" customHeight="false" outlineLevel="0" collapsed="false">
      <c r="A36" s="23" t="s">
        <v>86</v>
      </c>
      <c r="B36" s="77"/>
      <c r="C36" s="77"/>
      <c r="D36" s="77"/>
      <c r="E36" s="34"/>
      <c r="F36" s="34"/>
      <c r="G36" s="34"/>
      <c r="H36" s="34"/>
    </row>
    <row r="37" customFormat="false" ht="12.75" hidden="false" customHeight="false" outlineLevel="0" collapsed="false">
      <c r="A37" s="34" t="s">
        <v>222</v>
      </c>
      <c r="B37" s="77" t="n">
        <f aca="false">'Detail by Transaction Type'!B89</f>
        <v>25432</v>
      </c>
      <c r="C37" s="77"/>
      <c r="D37" s="77"/>
      <c r="E37" s="34"/>
      <c r="F37" s="34"/>
      <c r="G37" s="34"/>
      <c r="H37" s="34"/>
    </row>
    <row r="38" customFormat="false" ht="13.5" hidden="false" customHeight="false" outlineLevel="0" collapsed="false">
      <c r="A38" s="23" t="str">
        <f aca="false">'Detail by Transaction Type'!A89</f>
        <v>Total Enron Canada Corp</v>
      </c>
      <c r="B38" s="90" t="n">
        <f aca="false">'Detail by Transaction Type'!B89</f>
        <v>25432</v>
      </c>
      <c r="C38" s="90" t="n">
        <f aca="false">'Detail by Transaction Type'!C89</f>
        <v>0</v>
      </c>
      <c r="D38" s="77"/>
      <c r="E38" s="34"/>
      <c r="F38" s="34"/>
      <c r="G38" s="34"/>
      <c r="H38" s="34"/>
    </row>
    <row r="39" customFormat="false" ht="13.5" hidden="false" customHeight="false" outlineLevel="0" collapsed="false">
      <c r="A39" s="34"/>
      <c r="B39" s="77"/>
      <c r="C39" s="77"/>
      <c r="D39" s="77"/>
      <c r="E39" s="34"/>
      <c r="F39" s="34"/>
      <c r="G39" s="34"/>
      <c r="H39" s="34"/>
    </row>
    <row r="40" customFormat="false" ht="12.75" hidden="false" customHeight="false" outlineLevel="0" collapsed="false">
      <c r="A40" s="23" t="str">
        <f aca="false">'Detail by Transaction Type'!A91</f>
        <v>Enron North America Corporation</v>
      </c>
      <c r="B40" s="77"/>
      <c r="C40" s="77"/>
      <c r="D40" s="77"/>
      <c r="E40" s="34"/>
      <c r="F40" s="34"/>
      <c r="G40" s="34"/>
      <c r="H40" s="34"/>
    </row>
    <row r="41" customFormat="false" ht="12.75" hidden="false" customHeight="false" outlineLevel="0" collapsed="false">
      <c r="A41" s="34" t="s">
        <v>223</v>
      </c>
      <c r="B41" s="77" t="n">
        <f aca="false">'Detail by Transaction Type'!B94</f>
        <v>24138</v>
      </c>
      <c r="C41" s="77"/>
      <c r="D41" s="77"/>
      <c r="E41" s="34"/>
      <c r="F41" s="34"/>
      <c r="G41" s="34"/>
      <c r="H41" s="34"/>
    </row>
    <row r="42" customFormat="false" ht="12.75" hidden="false" customHeight="false" outlineLevel="0" collapsed="false">
      <c r="A42" s="34" t="s">
        <v>202</v>
      </c>
      <c r="B42" s="77" t="n">
        <f aca="false">'Detail by Transaction Type'!B98</f>
        <v>74190</v>
      </c>
      <c r="C42" s="77" t="n">
        <v>24000</v>
      </c>
      <c r="D42" s="77"/>
      <c r="E42" s="34"/>
      <c r="F42" s="34"/>
      <c r="G42" s="34"/>
      <c r="H42" s="34"/>
    </row>
    <row r="43" customFormat="false" ht="13.5" hidden="false" customHeight="false" outlineLevel="0" collapsed="false">
      <c r="A43" s="23" t="str">
        <f aca="false">'Detail by Transaction Type'!A100</f>
        <v>Total North America Corporation</v>
      </c>
      <c r="B43" s="90" t="n">
        <f aca="false">SUM(B41:B42)</f>
        <v>98328</v>
      </c>
      <c r="C43" s="90" t="n">
        <f aca="false">SUM(C41:C42)</f>
        <v>24000</v>
      </c>
      <c r="D43" s="77"/>
      <c r="E43" s="34"/>
      <c r="F43" s="34"/>
      <c r="G43" s="34"/>
      <c r="H43" s="34"/>
    </row>
    <row r="44" customFormat="false" ht="13.5" hidden="false" customHeight="false" outlineLevel="0" collapsed="false">
      <c r="A44" s="34"/>
      <c r="B44" s="77"/>
      <c r="C44" s="77"/>
      <c r="D44" s="77"/>
      <c r="E44" s="34"/>
      <c r="F44" s="34"/>
      <c r="G44" s="34"/>
      <c r="H44" s="34"/>
    </row>
    <row r="45" customFormat="false" ht="13.5" hidden="false" customHeight="false" outlineLevel="0" collapsed="false">
      <c r="A45" s="23" t="s">
        <v>224</v>
      </c>
      <c r="B45" s="90" t="n">
        <f aca="false">B43+B38+B34+B18+B9+B22</f>
        <v>679748</v>
      </c>
      <c r="C45" s="90" t="n">
        <f aca="false">C43+C38+C34+C18+C9+C22</f>
        <v>340196.65</v>
      </c>
      <c r="D45" s="77"/>
      <c r="E45" s="34"/>
      <c r="F45" s="34"/>
      <c r="G45" s="34"/>
      <c r="H45" s="34"/>
    </row>
    <row r="46" customFormat="false" ht="13.5" hidden="false" customHeight="false" outlineLevel="0" collapsed="false"/>
  </sheetData>
  <mergeCells count="4">
    <mergeCell ref="A1:F1"/>
    <mergeCell ref="A2:F2"/>
    <mergeCell ref="A3:F3"/>
    <mergeCell ref="F5:H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6"/>
  <sheetViews>
    <sheetView showFormulas="false" showGridLines="true" showRowColHeaders="true" showZeros="true" rightToLeft="false" tabSelected="false" showOutlineSymbols="true" defaultGridColor="true" view="normal" topLeftCell="A52" colorId="64" zoomScale="100" zoomScaleNormal="100" zoomScalePageLayoutView="100" workbookViewId="0">
      <selection pane="topLeft" activeCell="D79" activeCellId="0" sqref="D7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13.56"/>
    <col collapsed="false" customWidth="true" hidden="false" outlineLevel="0" max="3" min="3" style="0" width="11.28"/>
    <col collapsed="false" customWidth="true" hidden="false" outlineLevel="0" max="6" min="6" style="0" width="11.28"/>
    <col collapsed="false" customWidth="true" hidden="false" outlineLevel="0" max="7" min="7" style="0" width="14.99"/>
  </cols>
  <sheetData>
    <row r="1" customFormat="false" ht="12.75" hidden="false" customHeight="false" outlineLevel="0" collapsed="false">
      <c r="A1" s="5" t="s">
        <v>169</v>
      </c>
      <c r="B1" s="5"/>
      <c r="C1" s="5"/>
      <c r="D1" s="5"/>
    </row>
    <row r="2" customFormat="false" ht="12.75" hidden="false" customHeight="false" outlineLevel="0" collapsed="false">
      <c r="A2" s="5" t="s">
        <v>171</v>
      </c>
      <c r="B2" s="5"/>
      <c r="C2" s="5"/>
      <c r="D2" s="5"/>
    </row>
    <row r="3" customFormat="false" ht="12.75" hidden="false" customHeight="false" outlineLevel="0" collapsed="false">
      <c r="A3" s="5" t="s">
        <v>3</v>
      </c>
      <c r="B3" s="5"/>
      <c r="C3" s="5"/>
      <c r="D3" s="5"/>
    </row>
    <row r="4" customFormat="false" ht="12.75" hidden="false" customHeight="false" outlineLevel="0" collapsed="false">
      <c r="A4" s="34"/>
      <c r="B4" s="34"/>
      <c r="C4" s="34"/>
    </row>
    <row r="5" customFormat="false" ht="15.75" hidden="false" customHeight="false" outlineLevel="0" collapsed="false">
      <c r="A5" s="171" t="s">
        <v>207</v>
      </c>
      <c r="B5" s="171" t="s">
        <v>208</v>
      </c>
      <c r="C5" s="171" t="s">
        <v>59</v>
      </c>
      <c r="F5" s="7"/>
      <c r="G5" s="7"/>
      <c r="H5" s="7"/>
    </row>
    <row r="6" customFormat="false" ht="12.75" hidden="false" customHeight="false" outlineLevel="0" collapsed="false">
      <c r="A6" s="181"/>
      <c r="B6" s="182" t="s">
        <v>209</v>
      </c>
      <c r="C6" s="182" t="s">
        <v>68</v>
      </c>
    </row>
    <row r="7" customFormat="false" ht="12.75" hidden="false" customHeight="false" outlineLevel="0" collapsed="false">
      <c r="A7" s="23" t="s">
        <v>71</v>
      </c>
      <c r="B7" s="171"/>
      <c r="C7" s="34"/>
    </row>
    <row r="8" customFormat="false" ht="12.75" hidden="false" customHeight="false" outlineLevel="0" collapsed="false">
      <c r="A8" s="23" t="s">
        <v>210</v>
      </c>
      <c r="B8" s="183"/>
      <c r="C8" s="184"/>
      <c r="D8" s="184"/>
      <c r="G8" s="185"/>
    </row>
    <row r="9" customFormat="false" ht="12.75" hidden="false" customHeight="false" outlineLevel="0" collapsed="false">
      <c r="A9" s="34" t="s">
        <v>225</v>
      </c>
      <c r="B9" s="172" t="n">
        <v>239920</v>
      </c>
      <c r="C9" s="173" t="n">
        <f aca="false">B9*0.6</f>
        <v>143952</v>
      </c>
      <c r="D9" s="173"/>
      <c r="G9" s="186"/>
    </row>
    <row r="10" customFormat="false" ht="12.75" hidden="false" customHeight="false" outlineLevel="0" collapsed="false">
      <c r="A10" s="34" t="s">
        <v>226</v>
      </c>
      <c r="B10" s="172" t="n">
        <v>164029</v>
      </c>
      <c r="C10" s="173" t="n">
        <f aca="false">B10*0.6</f>
        <v>98417.4</v>
      </c>
      <c r="D10" s="173"/>
      <c r="G10" s="186"/>
    </row>
    <row r="11" customFormat="false" ht="13.5" hidden="false" customHeight="false" outlineLevel="0" collapsed="false">
      <c r="A11" s="23" t="s">
        <v>211</v>
      </c>
      <c r="B11" s="175" t="n">
        <f aca="false">SUM(B9:B10)</f>
        <v>403949</v>
      </c>
      <c r="C11" s="175" t="n">
        <f aca="false">SUM(C9:C10)</f>
        <v>242369.4</v>
      </c>
      <c r="D11" s="173"/>
    </row>
    <row r="12" customFormat="false" ht="13.5" hidden="false" customHeight="false" outlineLevel="0" collapsed="false">
      <c r="A12" s="34"/>
      <c r="B12" s="173"/>
      <c r="C12" s="173"/>
      <c r="D12" s="173"/>
    </row>
    <row r="13" customFormat="false" ht="12.75" hidden="false" customHeight="false" outlineLevel="0" collapsed="false">
      <c r="A13" s="23" t="s">
        <v>79</v>
      </c>
      <c r="B13" s="173"/>
      <c r="C13" s="173"/>
      <c r="D13" s="173"/>
    </row>
    <row r="14" customFormat="false" ht="12.75" hidden="false" customHeight="false" outlineLevel="0" collapsed="false">
      <c r="A14" s="23" t="s">
        <v>213</v>
      </c>
      <c r="B14" s="173"/>
      <c r="C14" s="173"/>
      <c r="D14" s="173"/>
    </row>
    <row r="15" customFormat="false" ht="12.75" hidden="false" customHeight="false" outlineLevel="0" collapsed="false">
      <c r="A15" s="187" t="s">
        <v>227</v>
      </c>
      <c r="B15" s="173" t="n">
        <v>42226</v>
      </c>
      <c r="C15" s="173" t="n">
        <v>22000</v>
      </c>
      <c r="D15" s="173"/>
    </row>
    <row r="16" customFormat="false" ht="12.75" hidden="false" customHeight="false" outlineLevel="0" collapsed="false">
      <c r="A16" s="176" t="s">
        <v>228</v>
      </c>
      <c r="B16" s="188" t="n">
        <v>349</v>
      </c>
      <c r="C16" s="188"/>
      <c r="D16" s="173"/>
    </row>
    <row r="17" customFormat="false" ht="12.75" hidden="false" customHeight="false" outlineLevel="0" collapsed="false">
      <c r="A17" s="176"/>
      <c r="B17" s="173" t="n">
        <f aca="false">SUM(B15:B16)</f>
        <v>42575</v>
      </c>
      <c r="C17" s="173" t="n">
        <f aca="false">SUM(C15:C16)</f>
        <v>22000</v>
      </c>
      <c r="D17" s="173"/>
    </row>
    <row r="18" customFormat="false" ht="12.75" hidden="false" customHeight="false" outlineLevel="0" collapsed="false">
      <c r="A18" s="34"/>
      <c r="B18" s="173"/>
      <c r="C18" s="173"/>
      <c r="D18" s="173"/>
    </row>
    <row r="19" customFormat="false" ht="12.75" hidden="false" customHeight="false" outlineLevel="0" collapsed="false">
      <c r="A19" s="23" t="s">
        <v>229</v>
      </c>
      <c r="B19" s="173"/>
      <c r="C19" s="173"/>
      <c r="D19" s="173"/>
    </row>
    <row r="20" customFormat="false" ht="12.75" hidden="false" customHeight="false" outlineLevel="0" collapsed="false">
      <c r="A20" s="34" t="s">
        <v>166</v>
      </c>
      <c r="B20" s="173" t="n">
        <v>31272</v>
      </c>
      <c r="C20" s="173" t="n">
        <f aca="false">B20</f>
        <v>31272</v>
      </c>
      <c r="D20" s="173"/>
    </row>
    <row r="21" customFormat="false" ht="12.75" hidden="false" customHeight="false" outlineLevel="0" collapsed="false">
      <c r="A21" s="34" t="s">
        <v>167</v>
      </c>
      <c r="B21" s="173" t="n">
        <v>5563</v>
      </c>
      <c r="C21" s="173" t="n">
        <f aca="false">B21</f>
        <v>5563</v>
      </c>
      <c r="D21" s="173"/>
    </row>
    <row r="22" customFormat="false" ht="12.75" hidden="false" customHeight="false" outlineLevel="0" collapsed="false">
      <c r="A22" s="34" t="s">
        <v>230</v>
      </c>
      <c r="B22" s="173" t="n">
        <v>-2698</v>
      </c>
      <c r="C22" s="173" t="n">
        <f aca="false">B22</f>
        <v>-2698</v>
      </c>
      <c r="D22" s="173"/>
    </row>
    <row r="23" customFormat="false" ht="12.75" hidden="false" customHeight="false" outlineLevel="0" collapsed="false">
      <c r="A23" s="34" t="s">
        <v>231</v>
      </c>
      <c r="B23" s="188" t="n">
        <v>-299</v>
      </c>
      <c r="C23" s="188" t="n">
        <f aca="false">B23</f>
        <v>-299</v>
      </c>
      <c r="D23" s="173"/>
    </row>
    <row r="24" customFormat="false" ht="12.75" hidden="false" customHeight="false" outlineLevel="0" collapsed="false">
      <c r="A24" s="34"/>
      <c r="B24" s="173" t="n">
        <f aca="false">SUM(B20:B23)</f>
        <v>33838</v>
      </c>
      <c r="C24" s="173" t="n">
        <f aca="false">SUM(C20:C23)</f>
        <v>33838</v>
      </c>
      <c r="D24" s="173"/>
    </row>
    <row r="25" customFormat="false" ht="12.75" hidden="false" customHeight="false" outlineLevel="0" collapsed="false">
      <c r="A25" s="85" t="s">
        <v>232</v>
      </c>
      <c r="B25" s="85"/>
      <c r="C25" s="85"/>
      <c r="D25" s="85"/>
    </row>
    <row r="26" customFormat="false" ht="12.75" hidden="false" customHeight="false" outlineLevel="0" collapsed="false">
      <c r="A26" s="23" t="s">
        <v>215</v>
      </c>
      <c r="B26" s="173"/>
      <c r="C26" s="173"/>
      <c r="D26" s="173"/>
    </row>
    <row r="27" customFormat="false" ht="12.75" hidden="false" customHeight="false" outlineLevel="0" collapsed="false">
      <c r="A27" s="34" t="s">
        <v>233</v>
      </c>
      <c r="B27" s="173" t="n">
        <v>12526</v>
      </c>
      <c r="C27" s="173"/>
      <c r="D27" s="173"/>
    </row>
    <row r="28" customFormat="false" ht="12.75" hidden="false" customHeight="false" outlineLevel="0" collapsed="false">
      <c r="A28" s="34" t="s">
        <v>234</v>
      </c>
      <c r="B28" s="173" t="n">
        <v>-4117</v>
      </c>
      <c r="C28" s="173"/>
      <c r="D28" s="173"/>
    </row>
    <row r="29" customFormat="false" ht="12.75" hidden="false" customHeight="false" outlineLevel="0" collapsed="false">
      <c r="A29" s="34" t="s">
        <v>235</v>
      </c>
      <c r="B29" s="173" t="n">
        <v>-155</v>
      </c>
      <c r="C29" s="173"/>
      <c r="D29" s="173"/>
    </row>
    <row r="30" customFormat="false" ht="12.75" hidden="false" customHeight="false" outlineLevel="0" collapsed="false">
      <c r="A30" s="34" t="s">
        <v>236</v>
      </c>
      <c r="B30" s="173" t="n">
        <v>19</v>
      </c>
      <c r="C30" s="173"/>
      <c r="D30" s="173"/>
    </row>
    <row r="31" customFormat="false" ht="12.75" hidden="false" customHeight="false" outlineLevel="0" collapsed="false">
      <c r="A31" s="34" t="s">
        <v>237</v>
      </c>
      <c r="B31" s="173"/>
      <c r="C31" s="173"/>
      <c r="D31" s="173"/>
    </row>
    <row r="32" customFormat="false" ht="12.75" hidden="false" customHeight="false" outlineLevel="0" collapsed="false">
      <c r="A32" s="34" t="s">
        <v>238</v>
      </c>
      <c r="B32" s="173" t="n">
        <v>-8406</v>
      </c>
      <c r="C32" s="173"/>
      <c r="D32" s="173"/>
    </row>
    <row r="33" customFormat="false" ht="12.75" hidden="false" customHeight="false" outlineLevel="0" collapsed="false">
      <c r="A33" s="34" t="s">
        <v>239</v>
      </c>
      <c r="B33" s="173" t="n">
        <v>-13339</v>
      </c>
      <c r="C33" s="173"/>
      <c r="D33" s="173"/>
    </row>
    <row r="34" customFormat="false" ht="12.75" hidden="false" customHeight="false" outlineLevel="0" collapsed="false">
      <c r="A34" s="34" t="s">
        <v>240</v>
      </c>
      <c r="B34" s="188" t="n">
        <v>834</v>
      </c>
      <c r="C34" s="188"/>
      <c r="D34" s="173"/>
    </row>
    <row r="35" customFormat="false" ht="12.75" hidden="false" customHeight="false" outlineLevel="0" collapsed="false">
      <c r="A35" s="34" t="s">
        <v>241</v>
      </c>
      <c r="B35" s="77" t="n">
        <f aca="false">SUM(B27:B34)</f>
        <v>-12638</v>
      </c>
      <c r="C35" s="77" t="n">
        <f aca="false">SUM(C27:C34)</f>
        <v>0</v>
      </c>
      <c r="D35" s="77"/>
    </row>
    <row r="36" customFormat="false" ht="12.75" hidden="false" customHeight="false" outlineLevel="0" collapsed="false">
      <c r="A36" s="34" t="s">
        <v>242</v>
      </c>
      <c r="B36" s="179" t="n">
        <v>12638</v>
      </c>
      <c r="C36" s="179"/>
      <c r="D36" s="77"/>
    </row>
    <row r="37" customFormat="false" ht="12.75" hidden="false" customHeight="false" outlineLevel="0" collapsed="false">
      <c r="A37" s="34"/>
      <c r="B37" s="189" t="n">
        <f aca="false">SUM(B35:B36)</f>
        <v>0</v>
      </c>
      <c r="C37" s="189" t="n">
        <f aca="false">SUM(C35:C36)</f>
        <v>0</v>
      </c>
      <c r="D37" s="77"/>
    </row>
    <row r="38" customFormat="false" ht="12.75" hidden="false" customHeight="false" outlineLevel="0" collapsed="false">
      <c r="A38" s="34" t="s">
        <v>243</v>
      </c>
      <c r="B38" s="147" t="n">
        <v>1</v>
      </c>
      <c r="C38" s="77" t="n">
        <v>0</v>
      </c>
      <c r="D38" s="77"/>
    </row>
    <row r="39" customFormat="false" ht="12.75" hidden="false" customHeight="false" outlineLevel="0" collapsed="false">
      <c r="A39" s="34" t="s">
        <v>244</v>
      </c>
      <c r="B39" s="148" t="n">
        <v>186</v>
      </c>
      <c r="C39" s="179" t="n">
        <v>0</v>
      </c>
      <c r="D39" s="77"/>
    </row>
    <row r="40" customFormat="false" ht="12.75" hidden="false" customHeight="false" outlineLevel="0" collapsed="false">
      <c r="A40" s="34"/>
      <c r="B40" s="147" t="n">
        <f aca="false">SUM(B37:B39)</f>
        <v>187</v>
      </c>
      <c r="C40" s="147" t="n">
        <f aca="false">SUM(C37:C39)</f>
        <v>0</v>
      </c>
      <c r="D40" s="77"/>
    </row>
    <row r="41" customFormat="false" ht="12.75" hidden="false" customHeight="false" outlineLevel="0" collapsed="false">
      <c r="A41" s="34" t="s">
        <v>41</v>
      </c>
      <c r="B41" s="147"/>
      <c r="C41" s="77"/>
      <c r="D41" s="77"/>
    </row>
    <row r="42" customFormat="false" ht="12.75" hidden="false" customHeight="false" outlineLevel="0" collapsed="false">
      <c r="A42" s="34" t="s">
        <v>245</v>
      </c>
      <c r="B42" s="147"/>
      <c r="C42" s="77"/>
      <c r="D42" s="77"/>
    </row>
    <row r="43" customFormat="false" ht="12.75" hidden="false" customHeight="false" outlineLevel="0" collapsed="false">
      <c r="A43" s="34" t="s">
        <v>246</v>
      </c>
      <c r="B43" s="147"/>
      <c r="C43" s="77"/>
      <c r="D43" s="77"/>
    </row>
    <row r="44" customFormat="false" ht="12.75" hidden="false" customHeight="false" outlineLevel="0" collapsed="false">
      <c r="A44" s="34"/>
      <c r="B44" s="147"/>
      <c r="C44" s="77"/>
      <c r="D44" s="77"/>
    </row>
    <row r="45" customFormat="false" ht="13.5" hidden="false" customHeight="false" outlineLevel="0" collapsed="false">
      <c r="A45" s="23" t="s">
        <v>247</v>
      </c>
      <c r="B45" s="177" t="n">
        <f aca="false">B40+B38+B24+B17</f>
        <v>76601</v>
      </c>
      <c r="C45" s="177" t="n">
        <f aca="false">C40+C38+C24+C17</f>
        <v>55838</v>
      </c>
      <c r="D45" s="77"/>
    </row>
    <row r="46" customFormat="false" ht="13.5" hidden="false" customHeight="false" outlineLevel="0" collapsed="false">
      <c r="A46" s="23"/>
      <c r="B46" s="147"/>
      <c r="C46" s="189"/>
      <c r="D46" s="77"/>
    </row>
    <row r="47" customFormat="false" ht="12.75" hidden="false" customHeight="false" outlineLevel="0" collapsed="false">
      <c r="A47" s="23" t="s">
        <v>79</v>
      </c>
      <c r="B47" s="147"/>
      <c r="C47" s="77"/>
      <c r="D47" s="77"/>
    </row>
    <row r="48" customFormat="false" ht="12.75" hidden="false" customHeight="false" outlineLevel="0" collapsed="false">
      <c r="A48" s="176" t="s">
        <v>217</v>
      </c>
      <c r="B48" s="173" t="n">
        <v>3482</v>
      </c>
      <c r="C48" s="77"/>
      <c r="D48" s="77"/>
    </row>
    <row r="49" customFormat="false" ht="13.5" hidden="false" customHeight="false" outlineLevel="0" collapsed="false">
      <c r="A49" s="178" t="s">
        <v>218</v>
      </c>
      <c r="B49" s="175" t="n">
        <f aca="false">SUM(B48)</f>
        <v>3482</v>
      </c>
      <c r="C49" s="175" t="n">
        <f aca="false">SUM(C48)</f>
        <v>0</v>
      </c>
      <c r="D49" s="77"/>
    </row>
    <row r="50" customFormat="false" ht="13.5" hidden="false" customHeight="false" outlineLevel="0" collapsed="false">
      <c r="A50" s="178"/>
      <c r="B50" s="190"/>
      <c r="C50" s="20"/>
      <c r="D50" s="77"/>
    </row>
    <row r="51" customFormat="false" ht="12.75" hidden="false" customHeight="false" outlineLevel="0" collapsed="false">
      <c r="A51" s="34"/>
      <c r="B51" s="147"/>
      <c r="C51" s="77"/>
      <c r="D51" s="77"/>
    </row>
    <row r="52" customFormat="false" ht="12.75" hidden="false" customHeight="false" outlineLevel="0" collapsed="false">
      <c r="A52" s="23" t="s">
        <v>187</v>
      </c>
      <c r="B52" s="147"/>
      <c r="C52" s="77"/>
      <c r="D52" s="77"/>
    </row>
    <row r="53" customFormat="false" ht="12.75" hidden="false" customHeight="false" outlineLevel="0" collapsed="false">
      <c r="A53" s="23" t="s">
        <v>213</v>
      </c>
      <c r="B53" s="147"/>
      <c r="C53" s="77"/>
      <c r="D53" s="77"/>
    </row>
    <row r="54" customFormat="false" ht="12.75" hidden="false" customHeight="false" outlineLevel="0" collapsed="false">
      <c r="A54" s="34" t="s">
        <v>248</v>
      </c>
      <c r="B54" s="147"/>
      <c r="C54" s="77"/>
      <c r="D54" s="77"/>
    </row>
    <row r="55" customFormat="false" ht="12.75" hidden="false" customHeight="false" outlineLevel="0" collapsed="false">
      <c r="A55" s="34" t="s">
        <v>160</v>
      </c>
      <c r="B55" s="147" t="n">
        <v>3259</v>
      </c>
      <c r="C55" s="77"/>
      <c r="D55" s="77"/>
    </row>
    <row r="56" customFormat="false" ht="12.75" hidden="false" customHeight="false" outlineLevel="0" collapsed="false">
      <c r="A56" s="34" t="s">
        <v>162</v>
      </c>
      <c r="B56" s="147" t="n">
        <v>7802</v>
      </c>
      <c r="C56" s="77"/>
      <c r="D56" s="77"/>
    </row>
    <row r="57" customFormat="false" ht="12.75" hidden="false" customHeight="false" outlineLevel="0" collapsed="false">
      <c r="A57" s="34" t="s">
        <v>164</v>
      </c>
      <c r="B57" s="147" t="n">
        <v>45152</v>
      </c>
      <c r="C57" s="77"/>
      <c r="D57" s="77"/>
    </row>
    <row r="58" customFormat="false" ht="12.75" hidden="false" customHeight="false" outlineLevel="0" collapsed="false">
      <c r="A58" s="34" t="s">
        <v>166</v>
      </c>
      <c r="B58" s="147" t="n">
        <v>10737</v>
      </c>
      <c r="C58" s="77"/>
      <c r="D58" s="77"/>
    </row>
    <row r="59" customFormat="false" ht="12.75" hidden="false" customHeight="false" outlineLevel="0" collapsed="false">
      <c r="A59" s="34" t="s">
        <v>167</v>
      </c>
      <c r="B59" s="148" t="n">
        <v>4358</v>
      </c>
      <c r="C59" s="179"/>
      <c r="D59" s="77"/>
    </row>
    <row r="60" customFormat="false" ht="12.75" hidden="false" customHeight="false" outlineLevel="0" collapsed="false">
      <c r="A60" s="34" t="s">
        <v>249</v>
      </c>
      <c r="B60" s="147" t="n">
        <f aca="false">SUM(B55:B59)</f>
        <v>71308</v>
      </c>
      <c r="C60" s="147" t="n">
        <f aca="false">SUM(C55:C59)</f>
        <v>0</v>
      </c>
      <c r="D60" s="77"/>
    </row>
    <row r="61" customFormat="false" ht="12.75" hidden="false" customHeight="false" outlineLevel="0" collapsed="false">
      <c r="A61" s="23"/>
      <c r="B61" s="147"/>
      <c r="C61" s="77"/>
      <c r="D61" s="77"/>
    </row>
    <row r="62" customFormat="false" ht="12.75" hidden="false" customHeight="false" outlineLevel="0" collapsed="false">
      <c r="A62" s="34" t="s">
        <v>250</v>
      </c>
      <c r="B62" s="147"/>
      <c r="C62" s="77"/>
      <c r="D62" s="77"/>
    </row>
    <row r="63" customFormat="false" ht="12.75" hidden="false" customHeight="false" outlineLevel="0" collapsed="false">
      <c r="A63" s="34" t="s">
        <v>164</v>
      </c>
      <c r="B63" s="147" t="n">
        <v>-1018</v>
      </c>
      <c r="C63" s="77"/>
      <c r="D63" s="77"/>
    </row>
    <row r="64" customFormat="false" ht="12.75" hidden="false" customHeight="false" outlineLevel="0" collapsed="false">
      <c r="A64" s="34" t="s">
        <v>251</v>
      </c>
      <c r="B64" s="148" t="n">
        <v>-7404</v>
      </c>
      <c r="C64" s="179"/>
      <c r="D64" s="77"/>
    </row>
    <row r="65" customFormat="false" ht="12.75" hidden="false" customHeight="false" outlineLevel="0" collapsed="false">
      <c r="A65" s="34" t="s">
        <v>252</v>
      </c>
      <c r="B65" s="147" t="n">
        <f aca="false">SUM(B63:B64)</f>
        <v>-8422</v>
      </c>
      <c r="C65" s="147" t="n">
        <f aca="false">SUM(C63:C64)</f>
        <v>0</v>
      </c>
      <c r="D65" s="77"/>
    </row>
    <row r="66" customFormat="false" ht="12.75" hidden="false" customHeight="false" outlineLevel="0" collapsed="false">
      <c r="A66" s="34"/>
      <c r="B66" s="147"/>
      <c r="C66" s="77"/>
      <c r="D66" s="77"/>
    </row>
    <row r="67" customFormat="false" ht="12.75" hidden="false" customHeight="false" outlineLevel="0" collapsed="false">
      <c r="A67" s="34"/>
      <c r="B67" s="147"/>
      <c r="C67" s="77"/>
      <c r="D67" s="77"/>
    </row>
    <row r="68" customFormat="false" ht="12.75" hidden="false" customHeight="false" outlineLevel="0" collapsed="false">
      <c r="A68" s="23" t="s">
        <v>215</v>
      </c>
      <c r="B68" s="147"/>
      <c r="C68" s="77"/>
      <c r="D68" s="77"/>
    </row>
    <row r="69" customFormat="false" ht="12.75" hidden="false" customHeight="false" outlineLevel="0" collapsed="false">
      <c r="A69" s="34" t="s">
        <v>248</v>
      </c>
      <c r="B69" s="147"/>
      <c r="C69" s="77"/>
      <c r="D69" s="77"/>
    </row>
    <row r="70" customFormat="false" ht="12.75" hidden="false" customHeight="false" outlineLevel="0" collapsed="false">
      <c r="A70" s="34" t="s">
        <v>160</v>
      </c>
      <c r="B70" s="147" t="n">
        <v>1440</v>
      </c>
      <c r="C70" s="77"/>
      <c r="D70" s="77"/>
    </row>
    <row r="71" customFormat="false" ht="12.75" hidden="false" customHeight="false" outlineLevel="0" collapsed="false">
      <c r="A71" s="34" t="s">
        <v>162</v>
      </c>
      <c r="B71" s="147" t="n">
        <v>6797</v>
      </c>
      <c r="C71" s="77"/>
      <c r="D71" s="77"/>
    </row>
    <row r="72" customFormat="false" ht="12.75" hidden="false" customHeight="false" outlineLevel="0" collapsed="false">
      <c r="A72" s="34" t="s">
        <v>164</v>
      </c>
      <c r="B72" s="147" t="n">
        <v>2856</v>
      </c>
      <c r="C72" s="77"/>
      <c r="D72" s="77"/>
    </row>
    <row r="73" customFormat="false" ht="12.75" hidden="false" customHeight="false" outlineLevel="0" collapsed="false">
      <c r="A73" s="34" t="s">
        <v>166</v>
      </c>
      <c r="B73" s="148" t="n">
        <v>7641</v>
      </c>
      <c r="C73" s="179"/>
      <c r="D73" s="77"/>
    </row>
    <row r="74" customFormat="false" ht="12.75" hidden="false" customHeight="false" outlineLevel="0" collapsed="false">
      <c r="A74" s="34" t="s">
        <v>253</v>
      </c>
      <c r="B74" s="147" t="n">
        <f aca="false">SUM(B70:B73)</f>
        <v>18734</v>
      </c>
      <c r="C74" s="147" t="n">
        <f aca="false">SUM(C70:C73)</f>
        <v>0</v>
      </c>
      <c r="D74" s="77"/>
    </row>
    <row r="75" customFormat="false" ht="12.75" hidden="false" customHeight="false" outlineLevel="0" collapsed="false">
      <c r="A75" s="34"/>
      <c r="B75" s="147"/>
      <c r="C75" s="77"/>
      <c r="D75" s="77"/>
    </row>
    <row r="76" customFormat="false" ht="12.75" hidden="false" customHeight="false" outlineLevel="0" collapsed="false">
      <c r="A76" s="34" t="s">
        <v>250</v>
      </c>
      <c r="B76" s="77"/>
      <c r="C76" s="77"/>
      <c r="D76" s="77"/>
    </row>
    <row r="77" customFormat="false" ht="12.75" hidden="false" customHeight="false" outlineLevel="0" collapsed="false">
      <c r="A77" s="34" t="s">
        <v>160</v>
      </c>
      <c r="B77" s="77" t="n">
        <v>-328</v>
      </c>
      <c r="C77" s="77"/>
      <c r="D77" s="77"/>
    </row>
    <row r="78" customFormat="false" ht="12.75" hidden="false" customHeight="false" outlineLevel="0" collapsed="false">
      <c r="A78" s="34" t="s">
        <v>162</v>
      </c>
      <c r="B78" s="77" t="n">
        <v>-3552</v>
      </c>
      <c r="C78" s="77"/>
      <c r="D78" s="77"/>
    </row>
    <row r="79" customFormat="false" ht="12.75" hidden="false" customHeight="false" outlineLevel="0" collapsed="false">
      <c r="A79" s="34" t="s">
        <v>164</v>
      </c>
      <c r="B79" s="189" t="n">
        <v>-1366</v>
      </c>
      <c r="C79" s="77"/>
      <c r="D79" s="77"/>
    </row>
    <row r="80" customFormat="false" ht="12.75" hidden="false" customHeight="false" outlineLevel="0" collapsed="false">
      <c r="A80" s="34" t="s">
        <v>166</v>
      </c>
      <c r="B80" s="189" t="n">
        <v>-17</v>
      </c>
      <c r="C80" s="77"/>
      <c r="D80" s="77"/>
    </row>
    <row r="81" customFormat="false" ht="12.75" hidden="false" customHeight="false" outlineLevel="0" collapsed="false">
      <c r="A81" s="34" t="s">
        <v>251</v>
      </c>
      <c r="B81" s="148" t="n">
        <v>-4400</v>
      </c>
      <c r="C81" s="179"/>
      <c r="D81" s="77"/>
    </row>
    <row r="82" customFormat="false" ht="12.75" hidden="false" customHeight="false" outlineLevel="0" collapsed="false">
      <c r="A82" s="34" t="s">
        <v>254</v>
      </c>
      <c r="B82" s="77" t="n">
        <f aca="false">SUM(B77:B81)</f>
        <v>-9663</v>
      </c>
      <c r="C82" s="77" t="n">
        <f aca="false">SUM(C77:C81)</f>
        <v>0</v>
      </c>
      <c r="D82" s="77"/>
    </row>
    <row r="83" customFormat="false" ht="12.75" hidden="false" customHeight="false" outlineLevel="0" collapsed="false">
      <c r="A83" s="34"/>
      <c r="B83" s="77"/>
      <c r="C83" s="77"/>
      <c r="D83" s="77"/>
    </row>
    <row r="84" customFormat="false" ht="13.5" hidden="false" customHeight="false" outlineLevel="0" collapsed="false">
      <c r="A84" s="23" t="s">
        <v>255</v>
      </c>
      <c r="B84" s="177" t="n">
        <f aca="false">B60+B65+B74+B82</f>
        <v>71957</v>
      </c>
      <c r="C84" s="90" t="n">
        <f aca="false">C62</f>
        <v>0</v>
      </c>
      <c r="D84" s="77"/>
    </row>
    <row r="85" customFormat="false" ht="13.5" hidden="false" customHeight="false" outlineLevel="0" collapsed="false">
      <c r="A85" s="34"/>
      <c r="B85" s="77"/>
      <c r="C85" s="77"/>
      <c r="D85" s="77"/>
    </row>
    <row r="86" customFormat="false" ht="12.75" hidden="false" customHeight="false" outlineLevel="0" collapsed="false">
      <c r="A86" s="23" t="s">
        <v>86</v>
      </c>
      <c r="B86" s="77"/>
      <c r="C86" s="77"/>
      <c r="D86" s="77"/>
    </row>
    <row r="87" customFormat="false" ht="12.75" hidden="false" customHeight="false" outlineLevel="0" collapsed="false">
      <c r="A87" s="34" t="s">
        <v>256</v>
      </c>
      <c r="B87" s="173" t="n">
        <v>23743</v>
      </c>
      <c r="C87" s="77"/>
      <c r="D87" s="77"/>
    </row>
    <row r="88" customFormat="false" ht="12.75" hidden="false" customHeight="false" outlineLevel="0" collapsed="false">
      <c r="A88" s="34" t="s">
        <v>257</v>
      </c>
      <c r="B88" s="173" t="n">
        <v>1689</v>
      </c>
      <c r="C88" s="173"/>
      <c r="D88" s="173"/>
      <c r="E88" s="156"/>
    </row>
    <row r="89" customFormat="false" ht="13.5" hidden="false" customHeight="false" outlineLevel="0" collapsed="false">
      <c r="A89" s="23" t="s">
        <v>258</v>
      </c>
      <c r="B89" s="175" t="n">
        <f aca="false">SUM(B87:B88)</f>
        <v>25432</v>
      </c>
      <c r="C89" s="175" t="n">
        <f aca="false">SUM(C87:C88)</f>
        <v>0</v>
      </c>
      <c r="D89" s="173"/>
      <c r="E89" s="156"/>
    </row>
    <row r="90" customFormat="false" ht="13.5" hidden="false" customHeight="false" outlineLevel="0" collapsed="false">
      <c r="A90" s="34"/>
      <c r="B90" s="173"/>
      <c r="C90" s="173"/>
      <c r="D90" s="173"/>
      <c r="E90" s="156"/>
    </row>
    <row r="91" customFormat="false" ht="12.75" hidden="false" customHeight="false" outlineLevel="0" collapsed="false">
      <c r="A91" s="23" t="s">
        <v>188</v>
      </c>
      <c r="B91" s="77"/>
      <c r="C91" s="77"/>
      <c r="D91" s="173"/>
      <c r="E91" s="156"/>
    </row>
    <row r="92" customFormat="false" ht="12.75" hidden="false" customHeight="false" outlineLevel="0" collapsed="false">
      <c r="A92" s="34" t="s">
        <v>223</v>
      </c>
      <c r="B92" s="173" t="n">
        <v>11910</v>
      </c>
      <c r="C92" s="77"/>
      <c r="D92" s="173"/>
      <c r="E92" s="156"/>
    </row>
    <row r="93" customFormat="false" ht="12.75" hidden="false" customHeight="false" outlineLevel="0" collapsed="false">
      <c r="A93" s="34" t="s">
        <v>259</v>
      </c>
      <c r="B93" s="188" t="n">
        <v>12228</v>
      </c>
      <c r="C93" s="188"/>
      <c r="D93" s="173"/>
      <c r="E93" s="156"/>
    </row>
    <row r="94" customFormat="false" ht="12.75" hidden="false" customHeight="false" outlineLevel="0" collapsed="false">
      <c r="A94" s="34" t="s">
        <v>260</v>
      </c>
      <c r="B94" s="173" t="n">
        <f aca="false">SUM(B92:B93)</f>
        <v>24138</v>
      </c>
      <c r="C94" s="173" t="n">
        <f aca="false">SUM(C92:C93)</f>
        <v>0</v>
      </c>
      <c r="D94" s="173"/>
      <c r="E94" s="156"/>
    </row>
    <row r="95" customFormat="false" ht="12.75" hidden="false" customHeight="false" outlineLevel="0" collapsed="false">
      <c r="A95" s="34"/>
      <c r="B95" s="173"/>
      <c r="C95" s="173"/>
      <c r="D95" s="173"/>
      <c r="E95" s="156"/>
    </row>
    <row r="96" customFormat="false" ht="12.75" hidden="false" customHeight="false" outlineLevel="0" collapsed="false">
      <c r="A96" s="34" t="s">
        <v>202</v>
      </c>
      <c r="B96" s="173" t="n">
        <v>5823</v>
      </c>
      <c r="C96" s="173"/>
      <c r="D96" s="173"/>
      <c r="E96" s="156"/>
    </row>
    <row r="97" customFormat="false" ht="12.75" hidden="false" customHeight="false" outlineLevel="0" collapsed="false">
      <c r="A97" s="34" t="s">
        <v>261</v>
      </c>
      <c r="B97" s="188" t="n">
        <v>68367</v>
      </c>
      <c r="C97" s="188" t="n">
        <v>24000</v>
      </c>
      <c r="D97" s="173"/>
      <c r="E97" s="156"/>
    </row>
    <row r="98" customFormat="false" ht="12.75" hidden="false" customHeight="false" outlineLevel="0" collapsed="false">
      <c r="A98" s="34" t="s">
        <v>262</v>
      </c>
      <c r="B98" s="173" t="n">
        <f aca="false">SUM(B96:B97)</f>
        <v>74190</v>
      </c>
      <c r="C98" s="173" t="n">
        <f aca="false">SUM(C96:C97)</f>
        <v>24000</v>
      </c>
      <c r="D98" s="173"/>
      <c r="E98" s="156"/>
    </row>
    <row r="99" customFormat="false" ht="12.75" hidden="false" customHeight="false" outlineLevel="0" collapsed="false">
      <c r="A99" s="34"/>
      <c r="B99" s="77"/>
      <c r="C99" s="173"/>
      <c r="D99" s="173"/>
      <c r="E99" s="156"/>
    </row>
    <row r="100" customFormat="false" ht="13.5" hidden="false" customHeight="false" outlineLevel="0" collapsed="false">
      <c r="A100" s="23" t="s">
        <v>263</v>
      </c>
      <c r="B100" s="175" t="n">
        <f aca="false">B98+B94</f>
        <v>98328</v>
      </c>
      <c r="C100" s="175" t="n">
        <f aca="false">C98+C94</f>
        <v>24000</v>
      </c>
      <c r="D100" s="77"/>
    </row>
    <row r="101" customFormat="false" ht="13.5" hidden="false" customHeight="false" outlineLevel="0" collapsed="false">
      <c r="A101" s="34"/>
      <c r="B101" s="77"/>
      <c r="C101" s="77"/>
      <c r="D101" s="77"/>
    </row>
    <row r="102" customFormat="false" ht="13.5" hidden="false" customHeight="false" outlineLevel="0" collapsed="false">
      <c r="A102" s="23" t="s">
        <v>190</v>
      </c>
      <c r="B102" s="90" t="n">
        <f aca="false">B11+B45+B49+B84+B89+B100</f>
        <v>679749</v>
      </c>
      <c r="C102" s="90" t="n">
        <f aca="false">C11+C45+C49+C84+C89+C100</f>
        <v>322207.4</v>
      </c>
      <c r="D102" s="77"/>
    </row>
    <row r="103" customFormat="false" ht="13.5" hidden="false" customHeight="false" outlineLevel="0" collapsed="false">
      <c r="A103" s="34"/>
      <c r="B103" s="77"/>
      <c r="C103" s="77"/>
      <c r="D103" s="77"/>
    </row>
    <row r="104" customFormat="false" ht="12.75" hidden="false" customHeight="false" outlineLevel="0" collapsed="false">
      <c r="A104" s="34"/>
      <c r="B104" s="77"/>
      <c r="C104" s="77"/>
      <c r="D104" s="77"/>
    </row>
    <row r="105" customFormat="false" ht="12.75" hidden="false" customHeight="false" outlineLevel="0" collapsed="false">
      <c r="A105" s="34"/>
      <c r="B105" s="77"/>
      <c r="C105" s="77"/>
      <c r="D105" s="77"/>
    </row>
    <row r="106" customFormat="false" ht="12.75" hidden="false" customHeight="false" outlineLevel="0" collapsed="false">
      <c r="A106" s="34"/>
      <c r="B106" s="77"/>
      <c r="C106" s="77"/>
      <c r="D106" s="77"/>
    </row>
    <row r="107" customFormat="false" ht="12.75" hidden="false" customHeight="false" outlineLevel="0" collapsed="false">
      <c r="A107" s="34"/>
      <c r="B107" s="77"/>
      <c r="C107" s="77"/>
      <c r="D107" s="77"/>
    </row>
    <row r="108" customFormat="false" ht="12.75" hidden="false" customHeight="false" outlineLevel="0" collapsed="false">
      <c r="A108" s="34"/>
      <c r="B108" s="77"/>
      <c r="C108" s="77"/>
      <c r="D108" s="77"/>
    </row>
    <row r="109" customFormat="false" ht="12.75" hidden="false" customHeight="false" outlineLevel="0" collapsed="false">
      <c r="A109" s="34"/>
      <c r="B109" s="77"/>
      <c r="C109" s="77"/>
      <c r="D109" s="77"/>
    </row>
    <row r="110" customFormat="false" ht="12.75" hidden="false" customHeight="false" outlineLevel="0" collapsed="false">
      <c r="A110" s="34"/>
      <c r="B110" s="77"/>
      <c r="C110" s="77"/>
      <c r="D110" s="77"/>
    </row>
    <row r="111" customFormat="false" ht="12.75" hidden="false" customHeight="false" outlineLevel="0" collapsed="false">
      <c r="A111" s="34"/>
      <c r="B111" s="77"/>
      <c r="C111" s="77"/>
      <c r="D111" s="77"/>
    </row>
    <row r="112" customFormat="false" ht="12.75" hidden="false" customHeight="false" outlineLevel="0" collapsed="false">
      <c r="A112" s="34"/>
      <c r="B112" s="77"/>
      <c r="C112" s="77"/>
      <c r="D112" s="77"/>
    </row>
    <row r="113" customFormat="false" ht="12.75" hidden="false" customHeight="false" outlineLevel="0" collapsed="false">
      <c r="A113" s="34"/>
      <c r="B113" s="77"/>
      <c r="C113" s="77"/>
      <c r="D113" s="77"/>
    </row>
    <row r="114" customFormat="false" ht="12.75" hidden="false" customHeight="false" outlineLevel="0" collapsed="false">
      <c r="A114" s="34"/>
      <c r="B114" s="77"/>
      <c r="C114" s="77"/>
      <c r="D114" s="77"/>
    </row>
    <row r="115" customFormat="false" ht="12.75" hidden="false" customHeight="false" outlineLevel="0" collapsed="false">
      <c r="A115" s="34"/>
      <c r="B115" s="77"/>
      <c r="C115" s="77"/>
      <c r="D115" s="77"/>
    </row>
    <row r="116" customFormat="false" ht="12.75" hidden="false" customHeight="false" outlineLevel="0" collapsed="false">
      <c r="A116" s="34"/>
      <c r="B116" s="77"/>
      <c r="C116" s="77"/>
      <c r="D116" s="77"/>
    </row>
    <row r="117" customFormat="false" ht="12.75" hidden="false" customHeight="false" outlineLevel="0" collapsed="false">
      <c r="A117" s="34"/>
      <c r="B117" s="77"/>
      <c r="C117" s="77"/>
      <c r="D117" s="77"/>
    </row>
    <row r="118" customFormat="false" ht="12.75" hidden="false" customHeight="false" outlineLevel="0" collapsed="false">
      <c r="A118" s="34"/>
      <c r="B118" s="77"/>
      <c r="C118" s="77"/>
      <c r="D118" s="77"/>
    </row>
    <row r="119" customFormat="false" ht="12.75" hidden="false" customHeight="false" outlineLevel="0" collapsed="false">
      <c r="A119" s="34"/>
      <c r="B119" s="77"/>
      <c r="C119" s="77"/>
      <c r="D119" s="31"/>
    </row>
    <row r="120" customFormat="false" ht="12.75" hidden="false" customHeight="false" outlineLevel="0" collapsed="false">
      <c r="A120" s="34"/>
      <c r="B120" s="77"/>
      <c r="C120" s="77"/>
      <c r="D120" s="31"/>
    </row>
    <row r="121" customFormat="false" ht="12.75" hidden="false" customHeight="false" outlineLevel="0" collapsed="false">
      <c r="A121" s="34"/>
      <c r="B121" s="77"/>
      <c r="C121" s="77"/>
      <c r="D121" s="31"/>
    </row>
    <row r="122" customFormat="false" ht="12.75" hidden="false" customHeight="false" outlineLevel="0" collapsed="false">
      <c r="A122" s="34"/>
      <c r="B122" s="77"/>
      <c r="C122" s="77"/>
      <c r="D122" s="31"/>
    </row>
    <row r="123" customFormat="false" ht="12.75" hidden="false" customHeight="false" outlineLevel="0" collapsed="false">
      <c r="A123" s="34"/>
      <c r="B123" s="77"/>
      <c r="C123" s="77"/>
      <c r="D123" s="31"/>
    </row>
    <row r="124" customFormat="false" ht="12.75" hidden="false" customHeight="false" outlineLevel="0" collapsed="false">
      <c r="A124" s="34"/>
      <c r="B124" s="77"/>
      <c r="C124" s="77"/>
      <c r="D124" s="31"/>
    </row>
    <row r="125" customFormat="false" ht="12.75" hidden="false" customHeight="false" outlineLevel="0" collapsed="false">
      <c r="A125" s="34"/>
      <c r="B125" s="77"/>
      <c r="C125" s="77"/>
      <c r="D125" s="31"/>
    </row>
    <row r="126" customFormat="false" ht="12.75" hidden="false" customHeight="false" outlineLevel="0" collapsed="false">
      <c r="A126" s="34"/>
      <c r="B126" s="77"/>
      <c r="C126" s="77"/>
      <c r="D126" s="31"/>
    </row>
    <row r="127" customFormat="false" ht="12.75" hidden="false" customHeight="false" outlineLevel="0" collapsed="false">
      <c r="A127" s="34"/>
      <c r="B127" s="77"/>
      <c r="C127" s="77"/>
      <c r="D127" s="31"/>
    </row>
    <row r="128" customFormat="false" ht="12.75" hidden="false" customHeight="false" outlineLevel="0" collapsed="false">
      <c r="A128" s="34"/>
      <c r="B128" s="77"/>
      <c r="C128" s="77"/>
      <c r="D128" s="31"/>
    </row>
    <row r="129" customFormat="false" ht="12.75" hidden="false" customHeight="false" outlineLevel="0" collapsed="false">
      <c r="A129" s="34"/>
      <c r="B129" s="77"/>
      <c r="C129" s="77"/>
      <c r="D129" s="31"/>
    </row>
    <row r="130" customFormat="false" ht="12.75" hidden="false" customHeight="false" outlineLevel="0" collapsed="false">
      <c r="A130" s="34"/>
      <c r="B130" s="77"/>
      <c r="C130" s="77"/>
      <c r="D130" s="31"/>
    </row>
    <row r="131" customFormat="false" ht="12.75" hidden="false" customHeight="false" outlineLevel="0" collapsed="false">
      <c r="A131" s="34"/>
      <c r="B131" s="77"/>
      <c r="C131" s="77"/>
      <c r="D131" s="31"/>
    </row>
    <row r="132" customFormat="false" ht="12.75" hidden="false" customHeight="false" outlineLevel="0" collapsed="false">
      <c r="A132" s="34"/>
      <c r="B132" s="77"/>
      <c r="C132" s="77"/>
      <c r="D132" s="31"/>
    </row>
    <row r="133" customFormat="false" ht="12.75" hidden="false" customHeight="false" outlineLevel="0" collapsed="false">
      <c r="A133" s="34"/>
      <c r="B133" s="77"/>
      <c r="C133" s="77"/>
      <c r="D133" s="31"/>
    </row>
    <row r="134" customFormat="false" ht="12.75" hidden="false" customHeight="false" outlineLevel="0" collapsed="false">
      <c r="A134" s="34"/>
      <c r="B134" s="77"/>
      <c r="C134" s="77"/>
      <c r="D134" s="31"/>
    </row>
    <row r="135" customFormat="false" ht="12.75" hidden="false" customHeight="false" outlineLevel="0" collapsed="false">
      <c r="A135" s="34"/>
      <c r="B135" s="77"/>
      <c r="C135" s="77"/>
      <c r="D135" s="31"/>
    </row>
    <row r="136" customFormat="false" ht="12.75" hidden="false" customHeight="false" outlineLevel="0" collapsed="false">
      <c r="A136" s="34"/>
      <c r="B136" s="34"/>
      <c r="C136" s="34"/>
    </row>
    <row r="137" customFormat="false" ht="12.75" hidden="false" customHeight="false" outlineLevel="0" collapsed="false">
      <c r="A137" s="34"/>
      <c r="B137" s="34"/>
      <c r="C137" s="34"/>
    </row>
    <row r="138" customFormat="false" ht="12.75" hidden="false" customHeight="false" outlineLevel="0" collapsed="false">
      <c r="A138" s="34"/>
      <c r="B138" s="34"/>
      <c r="C138" s="34"/>
    </row>
    <row r="139" customFormat="false" ht="12.75" hidden="false" customHeight="false" outlineLevel="0" collapsed="false">
      <c r="A139" s="34"/>
      <c r="B139" s="34"/>
      <c r="C139" s="34"/>
    </row>
    <row r="140" customFormat="false" ht="12.75" hidden="false" customHeight="false" outlineLevel="0" collapsed="false">
      <c r="A140" s="34"/>
      <c r="B140" s="34"/>
      <c r="C140" s="34"/>
    </row>
    <row r="141" customFormat="false" ht="12.75" hidden="false" customHeight="false" outlineLevel="0" collapsed="false">
      <c r="A141" s="34"/>
      <c r="B141" s="34"/>
      <c r="C141" s="34"/>
    </row>
    <row r="142" customFormat="false" ht="12.75" hidden="false" customHeight="false" outlineLevel="0" collapsed="false">
      <c r="A142" s="34"/>
      <c r="B142" s="34"/>
      <c r="C142" s="34"/>
    </row>
    <row r="143" customFormat="false" ht="12.75" hidden="false" customHeight="false" outlineLevel="0" collapsed="false">
      <c r="A143" s="34"/>
      <c r="B143" s="34"/>
      <c r="C143" s="34"/>
    </row>
    <row r="144" customFormat="false" ht="12.75" hidden="false" customHeight="false" outlineLevel="0" collapsed="false">
      <c r="A144" s="34"/>
      <c r="B144" s="34"/>
      <c r="C144" s="34"/>
    </row>
    <row r="145" customFormat="false" ht="12.75" hidden="false" customHeight="false" outlineLevel="0" collapsed="false">
      <c r="A145" s="34"/>
      <c r="B145" s="34"/>
      <c r="C145" s="34"/>
    </row>
    <row r="146" customFormat="false" ht="12.75" hidden="false" customHeight="false" outlineLevel="0" collapsed="false">
      <c r="A146" s="34"/>
      <c r="B146" s="34"/>
      <c r="C146" s="34"/>
    </row>
    <row r="147" customFormat="false" ht="12.75" hidden="false" customHeight="false" outlineLevel="0" collapsed="false">
      <c r="A147" s="34"/>
      <c r="B147" s="34"/>
      <c r="C147" s="34"/>
    </row>
    <row r="148" customFormat="false" ht="12.75" hidden="false" customHeight="false" outlineLevel="0" collapsed="false">
      <c r="A148" s="34"/>
      <c r="B148" s="34"/>
      <c r="C148" s="34"/>
    </row>
    <row r="149" customFormat="false" ht="12.75" hidden="false" customHeight="false" outlineLevel="0" collapsed="false">
      <c r="A149" s="34"/>
      <c r="B149" s="34"/>
      <c r="C149" s="34"/>
    </row>
    <row r="150" customFormat="false" ht="12.75" hidden="false" customHeight="false" outlineLevel="0" collapsed="false">
      <c r="A150" s="34"/>
      <c r="B150" s="34"/>
      <c r="C150" s="34"/>
    </row>
    <row r="151" customFormat="false" ht="12.75" hidden="false" customHeight="false" outlineLevel="0" collapsed="false">
      <c r="A151" s="34"/>
      <c r="B151" s="34"/>
      <c r="C151" s="34"/>
    </row>
    <row r="152" customFormat="false" ht="12.75" hidden="false" customHeight="false" outlineLevel="0" collapsed="false">
      <c r="A152" s="34"/>
      <c r="B152" s="34"/>
      <c r="C152" s="34"/>
    </row>
    <row r="153" customFormat="false" ht="12.75" hidden="false" customHeight="false" outlineLevel="0" collapsed="false">
      <c r="A153" s="34"/>
      <c r="B153" s="34"/>
      <c r="C153" s="34"/>
    </row>
    <row r="154" customFormat="false" ht="12.75" hidden="false" customHeight="false" outlineLevel="0" collapsed="false">
      <c r="A154" s="34"/>
      <c r="B154" s="34"/>
      <c r="C154" s="34"/>
    </row>
    <row r="155" customFormat="false" ht="12.75" hidden="false" customHeight="false" outlineLevel="0" collapsed="false">
      <c r="A155" s="34"/>
      <c r="B155" s="34"/>
      <c r="C155" s="34"/>
    </row>
    <row r="156" customFormat="false" ht="12.75" hidden="false" customHeight="false" outlineLevel="0" collapsed="false">
      <c r="A156" s="34"/>
      <c r="B156" s="34"/>
      <c r="C156" s="34"/>
    </row>
    <row r="157" customFormat="false" ht="12.75" hidden="false" customHeight="false" outlineLevel="0" collapsed="false">
      <c r="A157" s="34"/>
      <c r="B157" s="34"/>
      <c r="C157" s="34"/>
    </row>
    <row r="158" customFormat="false" ht="12.75" hidden="false" customHeight="false" outlineLevel="0" collapsed="false">
      <c r="A158" s="34"/>
      <c r="B158" s="34"/>
      <c r="C158" s="34"/>
    </row>
    <row r="159" customFormat="false" ht="12.75" hidden="false" customHeight="false" outlineLevel="0" collapsed="false">
      <c r="A159" s="34"/>
      <c r="B159" s="34"/>
      <c r="C159" s="34"/>
    </row>
    <row r="160" customFormat="false" ht="12.75" hidden="false" customHeight="false" outlineLevel="0" collapsed="false">
      <c r="A160" s="34"/>
      <c r="B160" s="34"/>
      <c r="C160" s="34"/>
    </row>
    <row r="161" customFormat="false" ht="12.75" hidden="false" customHeight="false" outlineLevel="0" collapsed="false">
      <c r="A161" s="34"/>
      <c r="B161" s="34"/>
      <c r="C161" s="34"/>
    </row>
    <row r="162" customFormat="false" ht="12.75" hidden="false" customHeight="false" outlineLevel="0" collapsed="false">
      <c r="A162" s="34"/>
      <c r="B162" s="34"/>
      <c r="C162" s="34"/>
    </row>
    <row r="163" customFormat="false" ht="12.75" hidden="false" customHeight="false" outlineLevel="0" collapsed="false">
      <c r="A163" s="34"/>
      <c r="B163" s="34"/>
      <c r="C163" s="34"/>
    </row>
    <row r="164" customFormat="false" ht="12.75" hidden="false" customHeight="false" outlineLevel="0" collapsed="false">
      <c r="A164" s="34"/>
      <c r="B164" s="34"/>
      <c r="C164" s="34"/>
    </row>
    <row r="165" customFormat="false" ht="12.75" hidden="false" customHeight="false" outlineLevel="0" collapsed="false">
      <c r="A165" s="34"/>
      <c r="B165" s="34"/>
      <c r="C165" s="34"/>
    </row>
    <row r="166" customFormat="false" ht="12.75" hidden="false" customHeight="false" outlineLevel="0" collapsed="false">
      <c r="A166" s="34"/>
      <c r="B166" s="34"/>
      <c r="C166" s="34"/>
    </row>
    <row r="167" customFormat="false" ht="12.75" hidden="false" customHeight="false" outlineLevel="0" collapsed="false">
      <c r="A167" s="34"/>
      <c r="B167" s="34"/>
      <c r="C167" s="34"/>
    </row>
    <row r="168" customFormat="false" ht="12.75" hidden="false" customHeight="false" outlineLevel="0" collapsed="false">
      <c r="A168" s="34"/>
      <c r="B168" s="34"/>
      <c r="C168" s="34"/>
    </row>
    <row r="169" customFormat="false" ht="12.75" hidden="false" customHeight="false" outlineLevel="0" collapsed="false">
      <c r="A169" s="34"/>
      <c r="B169" s="34"/>
      <c r="C169" s="34"/>
    </row>
    <row r="170" customFormat="false" ht="12.75" hidden="false" customHeight="false" outlineLevel="0" collapsed="false">
      <c r="A170" s="34"/>
      <c r="B170" s="34"/>
      <c r="C170" s="34"/>
    </row>
    <row r="171" customFormat="false" ht="12.75" hidden="false" customHeight="false" outlineLevel="0" collapsed="false">
      <c r="A171" s="34"/>
      <c r="B171" s="34"/>
      <c r="C171" s="34"/>
    </row>
    <row r="172" customFormat="false" ht="12.75" hidden="false" customHeight="false" outlineLevel="0" collapsed="false">
      <c r="A172" s="34"/>
      <c r="B172" s="34"/>
      <c r="C172" s="34"/>
    </row>
    <row r="173" customFormat="false" ht="12.75" hidden="false" customHeight="false" outlineLevel="0" collapsed="false">
      <c r="A173" s="34"/>
      <c r="B173" s="34"/>
      <c r="C173" s="34"/>
    </row>
    <row r="174" customFormat="false" ht="12.75" hidden="false" customHeight="false" outlineLevel="0" collapsed="false">
      <c r="A174" s="34"/>
      <c r="B174" s="34"/>
      <c r="C174" s="34"/>
    </row>
    <row r="175" customFormat="false" ht="12.75" hidden="false" customHeight="false" outlineLevel="0" collapsed="false">
      <c r="A175" s="34"/>
      <c r="B175" s="34"/>
      <c r="C175" s="34"/>
    </row>
    <row r="176" customFormat="false" ht="12.75" hidden="false" customHeight="false" outlineLevel="0" collapsed="false">
      <c r="A176" s="34"/>
      <c r="B176" s="34"/>
      <c r="C176" s="34"/>
    </row>
    <row r="177" customFormat="false" ht="12.75" hidden="false" customHeight="false" outlineLevel="0" collapsed="false">
      <c r="A177" s="34"/>
      <c r="B177" s="34"/>
      <c r="C177" s="34"/>
    </row>
    <row r="178" customFormat="false" ht="12.75" hidden="false" customHeight="false" outlineLevel="0" collapsed="false">
      <c r="A178" s="34"/>
      <c r="B178" s="34"/>
      <c r="C178" s="34"/>
    </row>
    <row r="179" customFormat="false" ht="12.75" hidden="false" customHeight="false" outlineLevel="0" collapsed="false">
      <c r="A179" s="34"/>
      <c r="B179" s="34"/>
      <c r="C179" s="34"/>
    </row>
    <row r="180" customFormat="false" ht="12.75" hidden="false" customHeight="false" outlineLevel="0" collapsed="false">
      <c r="A180" s="34"/>
      <c r="B180" s="34"/>
      <c r="C180" s="34"/>
    </row>
    <row r="181" customFormat="false" ht="12.75" hidden="false" customHeight="false" outlineLevel="0" collapsed="false">
      <c r="A181" s="34"/>
      <c r="B181" s="34"/>
      <c r="C181" s="34"/>
    </row>
    <row r="182" customFormat="false" ht="12.75" hidden="false" customHeight="false" outlineLevel="0" collapsed="false">
      <c r="A182" s="34"/>
      <c r="B182" s="34"/>
      <c r="C182" s="34"/>
    </row>
    <row r="183" customFormat="false" ht="12.75" hidden="false" customHeight="false" outlineLevel="0" collapsed="false">
      <c r="A183" s="34"/>
      <c r="B183" s="34"/>
      <c r="C183" s="34"/>
    </row>
    <row r="184" customFormat="false" ht="12.75" hidden="false" customHeight="false" outlineLevel="0" collapsed="false">
      <c r="A184" s="34"/>
      <c r="B184" s="34"/>
      <c r="C184" s="34"/>
    </row>
    <row r="185" customFormat="false" ht="12.75" hidden="false" customHeight="false" outlineLevel="0" collapsed="false">
      <c r="A185" s="34"/>
      <c r="B185" s="34"/>
      <c r="C185" s="34"/>
    </row>
    <row r="186" customFormat="false" ht="12.75" hidden="false" customHeight="false" outlineLevel="0" collapsed="false">
      <c r="A186" s="34"/>
      <c r="B186" s="34"/>
      <c r="C186" s="34"/>
    </row>
    <row r="187" customFormat="false" ht="12.75" hidden="false" customHeight="false" outlineLevel="0" collapsed="false">
      <c r="A187" s="34"/>
      <c r="B187" s="34"/>
      <c r="C187" s="34"/>
    </row>
    <row r="188" customFormat="false" ht="12.75" hidden="false" customHeight="false" outlineLevel="0" collapsed="false">
      <c r="A188" s="34"/>
      <c r="B188" s="34"/>
      <c r="C188" s="34"/>
    </row>
    <row r="189" customFormat="false" ht="12.75" hidden="false" customHeight="false" outlineLevel="0" collapsed="false">
      <c r="A189" s="34"/>
      <c r="B189" s="34"/>
      <c r="C189" s="34"/>
    </row>
    <row r="190" customFormat="false" ht="12.75" hidden="false" customHeight="false" outlineLevel="0" collapsed="false">
      <c r="A190" s="34"/>
      <c r="B190" s="34"/>
      <c r="C190" s="34"/>
    </row>
    <row r="191" customFormat="false" ht="12.75" hidden="false" customHeight="false" outlineLevel="0" collapsed="false">
      <c r="A191" s="34"/>
      <c r="B191" s="34"/>
      <c r="C191" s="34"/>
    </row>
    <row r="192" customFormat="false" ht="12.75" hidden="false" customHeight="false" outlineLevel="0" collapsed="false">
      <c r="A192" s="34"/>
      <c r="B192" s="34"/>
      <c r="C192" s="34"/>
    </row>
    <row r="193" customFormat="false" ht="12.75" hidden="false" customHeight="false" outlineLevel="0" collapsed="false">
      <c r="A193" s="34"/>
      <c r="B193" s="34"/>
      <c r="C193" s="34"/>
    </row>
    <row r="194" customFormat="false" ht="12.75" hidden="false" customHeight="false" outlineLevel="0" collapsed="false">
      <c r="A194" s="34"/>
      <c r="B194" s="34"/>
      <c r="C194" s="34"/>
    </row>
    <row r="195" customFormat="false" ht="12.75" hidden="false" customHeight="false" outlineLevel="0" collapsed="false">
      <c r="A195" s="34"/>
      <c r="B195" s="34"/>
      <c r="C195" s="34"/>
    </row>
    <row r="196" customFormat="false" ht="12.75" hidden="false" customHeight="false" outlineLevel="0" collapsed="false">
      <c r="A196" s="34"/>
      <c r="B196" s="34"/>
      <c r="C196" s="34"/>
    </row>
    <row r="197" customFormat="false" ht="12.75" hidden="false" customHeight="false" outlineLevel="0" collapsed="false">
      <c r="A197" s="34"/>
      <c r="B197" s="34"/>
      <c r="C197" s="34"/>
    </row>
    <row r="198" customFormat="false" ht="12.75" hidden="false" customHeight="false" outlineLevel="0" collapsed="false">
      <c r="A198" s="34"/>
      <c r="B198" s="34"/>
      <c r="C198" s="34"/>
    </row>
    <row r="199" customFormat="false" ht="12.75" hidden="false" customHeight="false" outlineLevel="0" collapsed="false">
      <c r="A199" s="34"/>
      <c r="B199" s="34"/>
      <c r="C199" s="34"/>
    </row>
    <row r="200" customFormat="false" ht="12.75" hidden="false" customHeight="false" outlineLevel="0" collapsed="false">
      <c r="A200" s="34"/>
      <c r="B200" s="34"/>
      <c r="C200" s="34"/>
    </row>
    <row r="201" customFormat="false" ht="12.75" hidden="false" customHeight="false" outlineLevel="0" collapsed="false">
      <c r="A201" s="34"/>
      <c r="B201" s="34"/>
      <c r="C201" s="34"/>
    </row>
    <row r="202" customFormat="false" ht="12.75" hidden="false" customHeight="false" outlineLevel="0" collapsed="false">
      <c r="A202" s="34"/>
      <c r="B202" s="34"/>
      <c r="C202" s="34"/>
    </row>
    <row r="203" customFormat="false" ht="12.75" hidden="false" customHeight="false" outlineLevel="0" collapsed="false">
      <c r="A203" s="34"/>
      <c r="B203" s="34"/>
      <c r="C203" s="34"/>
    </row>
    <row r="204" customFormat="false" ht="12.75" hidden="false" customHeight="false" outlineLevel="0" collapsed="false">
      <c r="A204" s="34"/>
      <c r="B204" s="34"/>
      <c r="C204" s="34"/>
    </row>
    <row r="205" customFormat="false" ht="12.75" hidden="false" customHeight="false" outlineLevel="0" collapsed="false">
      <c r="A205" s="34"/>
      <c r="B205" s="34"/>
      <c r="C205" s="34"/>
    </row>
    <row r="206" customFormat="false" ht="12.75" hidden="false" customHeight="false" outlineLevel="0" collapsed="false">
      <c r="A206" s="34"/>
      <c r="B206" s="34"/>
      <c r="C206" s="34"/>
    </row>
    <row r="207" customFormat="false" ht="12.75" hidden="false" customHeight="false" outlineLevel="0" collapsed="false">
      <c r="A207" s="34"/>
      <c r="B207" s="34"/>
      <c r="C207" s="34"/>
    </row>
    <row r="208" customFormat="false" ht="12.75" hidden="false" customHeight="false" outlineLevel="0" collapsed="false">
      <c r="A208" s="34"/>
      <c r="B208" s="34"/>
      <c r="C208" s="34"/>
    </row>
    <row r="209" customFormat="false" ht="12.75" hidden="false" customHeight="false" outlineLevel="0" collapsed="false">
      <c r="A209" s="34"/>
      <c r="B209" s="34"/>
      <c r="C209" s="34"/>
    </row>
    <row r="210" customFormat="false" ht="12.75" hidden="false" customHeight="false" outlineLevel="0" collapsed="false">
      <c r="A210" s="34"/>
      <c r="B210" s="34"/>
      <c r="C210" s="34"/>
    </row>
    <row r="211" customFormat="false" ht="12.75" hidden="false" customHeight="false" outlineLevel="0" collapsed="false">
      <c r="A211" s="34"/>
      <c r="B211" s="34"/>
      <c r="C211" s="34"/>
    </row>
    <row r="212" customFormat="false" ht="12.75" hidden="false" customHeight="false" outlineLevel="0" collapsed="false">
      <c r="A212" s="34"/>
      <c r="B212" s="34"/>
      <c r="C212" s="34"/>
    </row>
    <row r="213" customFormat="false" ht="12.75" hidden="false" customHeight="false" outlineLevel="0" collapsed="false">
      <c r="A213" s="34"/>
      <c r="B213" s="34"/>
      <c r="C213" s="34"/>
    </row>
    <row r="214" customFormat="false" ht="12.75" hidden="false" customHeight="false" outlineLevel="0" collapsed="false">
      <c r="A214" s="34"/>
      <c r="B214" s="34"/>
      <c r="C214" s="34"/>
    </row>
    <row r="215" customFormat="false" ht="12.75" hidden="false" customHeight="false" outlineLevel="0" collapsed="false">
      <c r="A215" s="34"/>
      <c r="B215" s="34"/>
      <c r="C215" s="34"/>
    </row>
    <row r="216" customFormat="false" ht="12.75" hidden="false" customHeight="false" outlineLevel="0" collapsed="false">
      <c r="A216" s="34"/>
      <c r="B216" s="34"/>
      <c r="C216" s="34"/>
    </row>
    <row r="217" customFormat="false" ht="12.75" hidden="false" customHeight="false" outlineLevel="0" collapsed="false">
      <c r="A217" s="34"/>
      <c r="B217" s="34"/>
      <c r="C217" s="34"/>
    </row>
    <row r="218" customFormat="false" ht="12.75" hidden="false" customHeight="false" outlineLevel="0" collapsed="false">
      <c r="A218" s="34"/>
      <c r="B218" s="34"/>
      <c r="C218" s="34"/>
    </row>
    <row r="219" customFormat="false" ht="12.75" hidden="false" customHeight="false" outlineLevel="0" collapsed="false">
      <c r="A219" s="34"/>
      <c r="B219" s="34"/>
      <c r="C219" s="34"/>
    </row>
    <row r="220" customFormat="false" ht="12.75" hidden="false" customHeight="false" outlineLevel="0" collapsed="false">
      <c r="A220" s="34"/>
      <c r="B220" s="34"/>
      <c r="C220" s="34"/>
    </row>
    <row r="221" customFormat="false" ht="12.75" hidden="false" customHeight="false" outlineLevel="0" collapsed="false">
      <c r="A221" s="34"/>
      <c r="B221" s="34"/>
      <c r="C221" s="34"/>
    </row>
    <row r="222" customFormat="false" ht="12.75" hidden="false" customHeight="false" outlineLevel="0" collapsed="false">
      <c r="A222" s="34"/>
      <c r="B222" s="34"/>
      <c r="C222" s="34"/>
    </row>
    <row r="223" customFormat="false" ht="12.75" hidden="false" customHeight="false" outlineLevel="0" collapsed="false">
      <c r="A223" s="34"/>
      <c r="B223" s="34"/>
      <c r="C223" s="34"/>
    </row>
    <row r="224" customFormat="false" ht="12.75" hidden="false" customHeight="false" outlineLevel="0" collapsed="false">
      <c r="A224" s="34"/>
      <c r="B224" s="34"/>
      <c r="C224" s="34"/>
    </row>
    <row r="225" customFormat="false" ht="12.75" hidden="false" customHeight="false" outlineLevel="0" collapsed="false">
      <c r="A225" s="34"/>
      <c r="B225" s="34"/>
      <c r="C225" s="34"/>
    </row>
    <row r="226" customFormat="false" ht="12.75" hidden="false" customHeight="false" outlineLevel="0" collapsed="false">
      <c r="A226" s="34"/>
      <c r="B226" s="34"/>
      <c r="C226" s="34"/>
    </row>
    <row r="227" customFormat="false" ht="12.75" hidden="false" customHeight="false" outlineLevel="0" collapsed="false">
      <c r="A227" s="34"/>
      <c r="B227" s="34"/>
      <c r="C227" s="34"/>
    </row>
    <row r="228" customFormat="false" ht="12.75" hidden="false" customHeight="false" outlineLevel="0" collapsed="false">
      <c r="A228" s="34"/>
      <c r="B228" s="34"/>
      <c r="C228" s="34"/>
    </row>
    <row r="229" customFormat="false" ht="12.75" hidden="false" customHeight="false" outlineLevel="0" collapsed="false">
      <c r="A229" s="34"/>
      <c r="B229" s="34"/>
      <c r="C229" s="34"/>
    </row>
    <row r="230" customFormat="false" ht="12.75" hidden="false" customHeight="false" outlineLevel="0" collapsed="false">
      <c r="A230" s="34"/>
      <c r="B230" s="34"/>
      <c r="C230" s="34"/>
    </row>
    <row r="231" customFormat="false" ht="12.75" hidden="false" customHeight="false" outlineLevel="0" collapsed="false">
      <c r="A231" s="34"/>
      <c r="B231" s="34"/>
      <c r="C231" s="34"/>
    </row>
    <row r="232" customFormat="false" ht="12.75" hidden="false" customHeight="false" outlineLevel="0" collapsed="false">
      <c r="A232" s="34"/>
      <c r="B232" s="34"/>
      <c r="C232" s="34"/>
    </row>
    <row r="233" customFormat="false" ht="12.75" hidden="false" customHeight="false" outlineLevel="0" collapsed="false">
      <c r="A233" s="34"/>
      <c r="B233" s="34"/>
      <c r="C233" s="34"/>
    </row>
    <row r="234" customFormat="false" ht="12.75" hidden="false" customHeight="false" outlineLevel="0" collapsed="false">
      <c r="A234" s="34"/>
      <c r="B234" s="34"/>
      <c r="C234" s="34"/>
    </row>
    <row r="235" customFormat="false" ht="12.75" hidden="false" customHeight="false" outlineLevel="0" collapsed="false">
      <c r="A235" s="34"/>
      <c r="B235" s="34"/>
      <c r="C235" s="34"/>
    </row>
    <row r="236" customFormat="false" ht="12.75" hidden="false" customHeight="false" outlineLevel="0" collapsed="false">
      <c r="A236" s="34"/>
      <c r="B236" s="34"/>
      <c r="C236" s="34"/>
    </row>
    <row r="237" customFormat="false" ht="12.75" hidden="false" customHeight="false" outlineLevel="0" collapsed="false">
      <c r="A237" s="34"/>
      <c r="B237" s="34"/>
      <c r="C237" s="34"/>
    </row>
    <row r="238" customFormat="false" ht="12.75" hidden="false" customHeight="false" outlineLevel="0" collapsed="false">
      <c r="A238" s="34"/>
      <c r="B238" s="34"/>
      <c r="C238" s="34"/>
    </row>
    <row r="239" customFormat="false" ht="12.75" hidden="false" customHeight="false" outlineLevel="0" collapsed="false">
      <c r="A239" s="34"/>
      <c r="B239" s="34"/>
      <c r="C239" s="34"/>
    </row>
    <row r="240" customFormat="false" ht="12.75" hidden="false" customHeight="false" outlineLevel="0" collapsed="false">
      <c r="A240" s="34"/>
      <c r="B240" s="34"/>
      <c r="C240" s="34"/>
    </row>
    <row r="241" customFormat="false" ht="12.75" hidden="false" customHeight="false" outlineLevel="0" collapsed="false">
      <c r="A241" s="34"/>
      <c r="B241" s="34"/>
      <c r="C241" s="34"/>
    </row>
    <row r="242" customFormat="false" ht="12.75" hidden="false" customHeight="false" outlineLevel="0" collapsed="false">
      <c r="A242" s="34"/>
      <c r="B242" s="34"/>
      <c r="C242" s="34"/>
    </row>
    <row r="243" customFormat="false" ht="12.75" hidden="false" customHeight="false" outlineLevel="0" collapsed="false">
      <c r="A243" s="34"/>
      <c r="B243" s="34"/>
      <c r="C243" s="34"/>
    </row>
    <row r="244" customFormat="false" ht="12.75" hidden="false" customHeight="false" outlineLevel="0" collapsed="false">
      <c r="A244" s="34"/>
      <c r="B244" s="34"/>
      <c r="C244" s="34"/>
    </row>
    <row r="245" customFormat="false" ht="12.75" hidden="false" customHeight="false" outlineLevel="0" collapsed="false">
      <c r="A245" s="34"/>
      <c r="B245" s="34"/>
      <c r="C245" s="34"/>
    </row>
    <row r="246" customFormat="false" ht="12.75" hidden="false" customHeight="false" outlineLevel="0" collapsed="false">
      <c r="A246" s="34"/>
      <c r="B246" s="34"/>
      <c r="C246" s="34"/>
    </row>
    <row r="247" customFormat="false" ht="12.75" hidden="false" customHeight="false" outlineLevel="0" collapsed="false">
      <c r="A247" s="34"/>
      <c r="B247" s="34"/>
      <c r="C247" s="34"/>
    </row>
    <row r="248" customFormat="false" ht="12.75" hidden="false" customHeight="false" outlineLevel="0" collapsed="false">
      <c r="A248" s="34"/>
      <c r="B248" s="34"/>
      <c r="C248" s="34"/>
    </row>
    <row r="249" customFormat="false" ht="12.75" hidden="false" customHeight="false" outlineLevel="0" collapsed="false">
      <c r="A249" s="34"/>
      <c r="B249" s="34"/>
      <c r="C249" s="34"/>
    </row>
    <row r="250" customFormat="false" ht="12.75" hidden="false" customHeight="false" outlineLevel="0" collapsed="false">
      <c r="A250" s="34"/>
      <c r="B250" s="34"/>
      <c r="C250" s="34"/>
    </row>
    <row r="251" customFormat="false" ht="12.75" hidden="false" customHeight="false" outlineLevel="0" collapsed="false">
      <c r="A251" s="34"/>
      <c r="B251" s="34"/>
      <c r="C251" s="34"/>
    </row>
    <row r="252" customFormat="false" ht="12.75" hidden="false" customHeight="false" outlineLevel="0" collapsed="false">
      <c r="A252" s="34"/>
      <c r="B252" s="34"/>
      <c r="C252" s="34"/>
    </row>
    <row r="253" customFormat="false" ht="12.75" hidden="false" customHeight="false" outlineLevel="0" collapsed="false">
      <c r="A253" s="34"/>
      <c r="B253" s="34"/>
      <c r="C253" s="34"/>
    </row>
    <row r="254" customFormat="false" ht="12.75" hidden="false" customHeight="false" outlineLevel="0" collapsed="false">
      <c r="A254" s="34"/>
      <c r="B254" s="34"/>
      <c r="C254" s="34"/>
    </row>
    <row r="255" customFormat="false" ht="12.75" hidden="false" customHeight="false" outlineLevel="0" collapsed="false">
      <c r="A255" s="34"/>
      <c r="B255" s="34"/>
      <c r="C255" s="34"/>
    </row>
    <row r="256" customFormat="false" ht="12.75" hidden="false" customHeight="false" outlineLevel="0" collapsed="false">
      <c r="A256" s="34"/>
      <c r="B256" s="34"/>
      <c r="C256" s="34"/>
    </row>
    <row r="257" customFormat="false" ht="12.75" hidden="false" customHeight="false" outlineLevel="0" collapsed="false">
      <c r="A257" s="34"/>
      <c r="B257" s="34"/>
      <c r="C257" s="34"/>
    </row>
    <row r="258" customFormat="false" ht="12.75" hidden="false" customHeight="false" outlineLevel="0" collapsed="false">
      <c r="A258" s="34"/>
      <c r="B258" s="34"/>
      <c r="C258" s="34"/>
    </row>
    <row r="259" customFormat="false" ht="12.75" hidden="false" customHeight="false" outlineLevel="0" collapsed="false">
      <c r="A259" s="34"/>
      <c r="B259" s="34"/>
      <c r="C259" s="34"/>
    </row>
    <row r="260" customFormat="false" ht="12.75" hidden="false" customHeight="false" outlineLevel="0" collapsed="false">
      <c r="A260" s="34"/>
      <c r="B260" s="34"/>
      <c r="C260" s="34"/>
    </row>
    <row r="261" customFormat="false" ht="12.75" hidden="false" customHeight="false" outlineLevel="0" collapsed="false">
      <c r="A261" s="34"/>
      <c r="B261" s="34"/>
      <c r="C261" s="34"/>
    </row>
    <row r="262" customFormat="false" ht="12.75" hidden="false" customHeight="false" outlineLevel="0" collapsed="false">
      <c r="A262" s="34"/>
      <c r="B262" s="34"/>
      <c r="C262" s="34"/>
    </row>
    <row r="263" customFormat="false" ht="12.75" hidden="false" customHeight="false" outlineLevel="0" collapsed="false">
      <c r="A263" s="34"/>
      <c r="B263" s="34"/>
      <c r="C263" s="34"/>
    </row>
    <row r="264" customFormat="false" ht="12.75" hidden="false" customHeight="false" outlineLevel="0" collapsed="false">
      <c r="A264" s="34"/>
      <c r="B264" s="34"/>
      <c r="C264" s="34"/>
    </row>
    <row r="265" customFormat="false" ht="12.75" hidden="false" customHeight="false" outlineLevel="0" collapsed="false">
      <c r="A265" s="34"/>
      <c r="B265" s="34"/>
      <c r="C265" s="34"/>
    </row>
    <row r="266" customFormat="false" ht="12.75" hidden="false" customHeight="false" outlineLevel="0" collapsed="false">
      <c r="A266" s="34"/>
      <c r="B266" s="34"/>
      <c r="C266" s="34"/>
    </row>
    <row r="267" customFormat="false" ht="12.75" hidden="false" customHeight="false" outlineLevel="0" collapsed="false">
      <c r="A267" s="34"/>
      <c r="B267" s="34"/>
      <c r="C267" s="34"/>
    </row>
    <row r="268" customFormat="false" ht="12.75" hidden="false" customHeight="false" outlineLevel="0" collapsed="false">
      <c r="A268" s="34"/>
      <c r="B268" s="34"/>
      <c r="C268" s="34"/>
    </row>
    <row r="269" customFormat="false" ht="12.75" hidden="false" customHeight="false" outlineLevel="0" collapsed="false">
      <c r="A269" s="34"/>
      <c r="B269" s="34"/>
      <c r="C269" s="34"/>
    </row>
    <row r="270" customFormat="false" ht="12.75" hidden="false" customHeight="false" outlineLevel="0" collapsed="false">
      <c r="A270" s="34"/>
      <c r="B270" s="34"/>
      <c r="C270" s="34"/>
    </row>
    <row r="271" customFormat="false" ht="12.75" hidden="false" customHeight="false" outlineLevel="0" collapsed="false">
      <c r="A271" s="34"/>
      <c r="B271" s="34"/>
      <c r="C271" s="34"/>
    </row>
    <row r="272" customFormat="false" ht="12.75" hidden="false" customHeight="false" outlineLevel="0" collapsed="false">
      <c r="A272" s="34"/>
      <c r="B272" s="34"/>
      <c r="C272" s="34"/>
    </row>
    <row r="273" customFormat="false" ht="12.75" hidden="false" customHeight="false" outlineLevel="0" collapsed="false">
      <c r="A273" s="34"/>
      <c r="B273" s="34"/>
      <c r="C273" s="34"/>
    </row>
    <row r="274" customFormat="false" ht="12.75" hidden="false" customHeight="false" outlineLevel="0" collapsed="false">
      <c r="A274" s="34"/>
      <c r="B274" s="34"/>
      <c r="C274" s="34"/>
    </row>
    <row r="275" customFormat="false" ht="12.75" hidden="false" customHeight="false" outlineLevel="0" collapsed="false">
      <c r="A275" s="34"/>
      <c r="B275" s="34"/>
      <c r="C275" s="34"/>
    </row>
    <row r="276" customFormat="false" ht="12.75" hidden="false" customHeight="false" outlineLevel="0" collapsed="false">
      <c r="A276" s="34"/>
      <c r="B276" s="34"/>
      <c r="C276" s="34"/>
    </row>
    <row r="277" customFormat="false" ht="12.75" hidden="false" customHeight="false" outlineLevel="0" collapsed="false">
      <c r="A277" s="34"/>
      <c r="B277" s="34"/>
      <c r="C277" s="34"/>
    </row>
    <row r="278" customFormat="false" ht="12.75" hidden="false" customHeight="false" outlineLevel="0" collapsed="false">
      <c r="A278" s="34"/>
      <c r="B278" s="34"/>
      <c r="C278" s="34"/>
    </row>
    <row r="279" customFormat="false" ht="12.75" hidden="false" customHeight="false" outlineLevel="0" collapsed="false">
      <c r="A279" s="34"/>
      <c r="B279" s="34"/>
      <c r="C279" s="34"/>
    </row>
    <row r="280" customFormat="false" ht="12.75" hidden="false" customHeight="false" outlineLevel="0" collapsed="false">
      <c r="A280" s="34"/>
      <c r="B280" s="34"/>
      <c r="C280" s="34"/>
    </row>
    <row r="281" customFormat="false" ht="12.75" hidden="false" customHeight="false" outlineLevel="0" collapsed="false">
      <c r="A281" s="34"/>
      <c r="B281" s="34"/>
      <c r="C281" s="34"/>
    </row>
    <row r="282" customFormat="false" ht="12.75" hidden="false" customHeight="false" outlineLevel="0" collapsed="false">
      <c r="A282" s="34"/>
      <c r="B282" s="34"/>
      <c r="C282" s="34"/>
    </row>
    <row r="283" customFormat="false" ht="12.75" hidden="false" customHeight="false" outlineLevel="0" collapsed="false">
      <c r="A283" s="34"/>
      <c r="B283" s="34"/>
      <c r="C283" s="34"/>
    </row>
    <row r="284" customFormat="false" ht="12.75" hidden="false" customHeight="false" outlineLevel="0" collapsed="false">
      <c r="A284" s="34"/>
      <c r="B284" s="34"/>
      <c r="C284" s="34"/>
    </row>
    <row r="285" customFormat="false" ht="12.75" hidden="false" customHeight="false" outlineLevel="0" collapsed="false">
      <c r="A285" s="34"/>
      <c r="B285" s="34"/>
      <c r="C285" s="34"/>
    </row>
    <row r="286" customFormat="false" ht="12.75" hidden="false" customHeight="false" outlineLevel="0" collapsed="false">
      <c r="A286" s="34"/>
      <c r="B286" s="34"/>
      <c r="C286" s="34"/>
    </row>
    <row r="287" customFormat="false" ht="12.75" hidden="false" customHeight="false" outlineLevel="0" collapsed="false">
      <c r="A287" s="34"/>
      <c r="B287" s="34"/>
      <c r="C287" s="34"/>
    </row>
    <row r="288" customFormat="false" ht="12.75" hidden="false" customHeight="false" outlineLevel="0" collapsed="false">
      <c r="A288" s="34"/>
      <c r="B288" s="34"/>
      <c r="C288" s="34"/>
    </row>
    <row r="289" customFormat="false" ht="12.75" hidden="false" customHeight="false" outlineLevel="0" collapsed="false">
      <c r="A289" s="34"/>
      <c r="B289" s="34"/>
      <c r="C289" s="34"/>
    </row>
    <row r="290" customFormat="false" ht="12.75" hidden="false" customHeight="false" outlineLevel="0" collapsed="false">
      <c r="A290" s="34"/>
      <c r="B290" s="34"/>
      <c r="C290" s="34"/>
    </row>
    <row r="291" customFormat="false" ht="12.75" hidden="false" customHeight="false" outlineLevel="0" collapsed="false">
      <c r="A291" s="34"/>
      <c r="B291" s="34"/>
      <c r="C291" s="34"/>
    </row>
    <row r="292" customFormat="false" ht="12.75" hidden="false" customHeight="false" outlineLevel="0" collapsed="false">
      <c r="A292" s="34"/>
      <c r="B292" s="34"/>
      <c r="C292" s="34"/>
    </row>
    <row r="293" customFormat="false" ht="12.75" hidden="false" customHeight="false" outlineLevel="0" collapsed="false">
      <c r="A293" s="34"/>
      <c r="B293" s="34"/>
      <c r="C293" s="34"/>
    </row>
    <row r="294" customFormat="false" ht="12.75" hidden="false" customHeight="false" outlineLevel="0" collapsed="false">
      <c r="A294" s="34"/>
      <c r="B294" s="34"/>
      <c r="C294" s="34"/>
    </row>
    <row r="295" customFormat="false" ht="12.75" hidden="false" customHeight="false" outlineLevel="0" collapsed="false">
      <c r="A295" s="34"/>
      <c r="B295" s="34"/>
      <c r="C295" s="34"/>
    </row>
    <row r="296" customFormat="false" ht="12.75" hidden="false" customHeight="false" outlineLevel="0" collapsed="false">
      <c r="A296" s="34"/>
      <c r="B296" s="34"/>
      <c r="C296" s="34"/>
    </row>
    <row r="297" customFormat="false" ht="12.75" hidden="false" customHeight="false" outlineLevel="0" collapsed="false">
      <c r="A297" s="34"/>
      <c r="B297" s="34"/>
      <c r="C297" s="34"/>
    </row>
    <row r="298" customFormat="false" ht="12.75" hidden="false" customHeight="false" outlineLevel="0" collapsed="false">
      <c r="A298" s="34"/>
      <c r="B298" s="34"/>
      <c r="C298" s="34"/>
    </row>
    <row r="299" customFormat="false" ht="12.75" hidden="false" customHeight="false" outlineLevel="0" collapsed="false">
      <c r="A299" s="34"/>
      <c r="B299" s="34"/>
      <c r="C299" s="34"/>
    </row>
    <row r="300" customFormat="false" ht="12.75" hidden="false" customHeight="false" outlineLevel="0" collapsed="false">
      <c r="A300" s="34"/>
      <c r="B300" s="34"/>
      <c r="C300" s="34"/>
    </row>
    <row r="301" customFormat="false" ht="12.75" hidden="false" customHeight="false" outlineLevel="0" collapsed="false">
      <c r="A301" s="34"/>
      <c r="B301" s="34"/>
      <c r="C301" s="34"/>
    </row>
    <row r="302" customFormat="false" ht="12.75" hidden="false" customHeight="false" outlineLevel="0" collapsed="false">
      <c r="A302" s="34"/>
      <c r="B302" s="34"/>
      <c r="C302" s="34"/>
    </row>
    <row r="303" customFormat="false" ht="12.75" hidden="false" customHeight="false" outlineLevel="0" collapsed="false">
      <c r="A303" s="34"/>
      <c r="B303" s="34"/>
      <c r="C303" s="34"/>
    </row>
    <row r="304" customFormat="false" ht="12.75" hidden="false" customHeight="false" outlineLevel="0" collapsed="false">
      <c r="A304" s="34"/>
      <c r="B304" s="34"/>
      <c r="C304" s="34"/>
    </row>
    <row r="305" customFormat="false" ht="12.75" hidden="false" customHeight="false" outlineLevel="0" collapsed="false">
      <c r="A305" s="34"/>
      <c r="B305" s="34"/>
      <c r="C305" s="34"/>
    </row>
    <row r="306" customFormat="false" ht="12.75" hidden="false" customHeight="false" outlineLevel="0" collapsed="false">
      <c r="A306" s="34"/>
      <c r="B306" s="34"/>
      <c r="C306" s="34"/>
    </row>
    <row r="307" customFormat="false" ht="12.75" hidden="false" customHeight="false" outlineLevel="0" collapsed="false">
      <c r="A307" s="34"/>
      <c r="B307" s="34"/>
      <c r="C307" s="34"/>
    </row>
    <row r="308" customFormat="false" ht="12.75" hidden="false" customHeight="false" outlineLevel="0" collapsed="false">
      <c r="A308" s="34"/>
      <c r="B308" s="34"/>
      <c r="C308" s="34"/>
    </row>
    <row r="309" customFormat="false" ht="12.75" hidden="false" customHeight="false" outlineLevel="0" collapsed="false">
      <c r="A309" s="34"/>
      <c r="B309" s="34"/>
      <c r="C309" s="34"/>
    </row>
    <row r="310" customFormat="false" ht="12.75" hidden="false" customHeight="false" outlineLevel="0" collapsed="false">
      <c r="A310" s="34"/>
      <c r="B310" s="34"/>
      <c r="C310" s="34"/>
    </row>
    <row r="311" customFormat="false" ht="12.75" hidden="false" customHeight="false" outlineLevel="0" collapsed="false">
      <c r="A311" s="34"/>
      <c r="B311" s="34"/>
      <c r="C311" s="34"/>
    </row>
    <row r="312" customFormat="false" ht="12.75" hidden="false" customHeight="false" outlineLevel="0" collapsed="false">
      <c r="A312" s="34"/>
      <c r="B312" s="34"/>
      <c r="C312" s="34"/>
    </row>
    <row r="313" customFormat="false" ht="12.75" hidden="false" customHeight="false" outlineLevel="0" collapsed="false">
      <c r="A313" s="34"/>
      <c r="B313" s="34"/>
      <c r="C313" s="34"/>
    </row>
    <row r="314" customFormat="false" ht="12.75" hidden="false" customHeight="false" outlineLevel="0" collapsed="false">
      <c r="A314" s="34"/>
      <c r="B314" s="34"/>
      <c r="C314" s="34"/>
    </row>
    <row r="315" customFormat="false" ht="12.75" hidden="false" customHeight="false" outlineLevel="0" collapsed="false">
      <c r="A315" s="34"/>
      <c r="B315" s="34"/>
      <c r="C315" s="34"/>
    </row>
    <row r="316" customFormat="false" ht="12.75" hidden="false" customHeight="false" outlineLevel="0" collapsed="false">
      <c r="A316" s="34"/>
      <c r="B316" s="34"/>
      <c r="C316" s="34"/>
    </row>
    <row r="317" customFormat="false" ht="12.75" hidden="false" customHeight="false" outlineLevel="0" collapsed="false">
      <c r="A317" s="34"/>
      <c r="B317" s="34"/>
      <c r="C317" s="34"/>
    </row>
    <row r="318" customFormat="false" ht="12.75" hidden="false" customHeight="false" outlineLevel="0" collapsed="false">
      <c r="A318" s="34"/>
      <c r="B318" s="34"/>
      <c r="C318" s="34"/>
    </row>
    <row r="319" customFormat="false" ht="12.75" hidden="false" customHeight="false" outlineLevel="0" collapsed="false">
      <c r="A319" s="34"/>
      <c r="B319" s="34"/>
      <c r="C319" s="34"/>
    </row>
    <row r="320" customFormat="false" ht="12.75" hidden="false" customHeight="false" outlineLevel="0" collapsed="false">
      <c r="A320" s="34"/>
      <c r="B320" s="34"/>
      <c r="C320" s="34"/>
    </row>
    <row r="321" customFormat="false" ht="12.75" hidden="false" customHeight="false" outlineLevel="0" collapsed="false">
      <c r="A321" s="34"/>
      <c r="B321" s="34"/>
      <c r="C321" s="34"/>
    </row>
    <row r="322" customFormat="false" ht="12.75" hidden="false" customHeight="false" outlineLevel="0" collapsed="false">
      <c r="A322" s="34"/>
      <c r="B322" s="34"/>
      <c r="C322" s="34"/>
    </row>
    <row r="323" customFormat="false" ht="12.75" hidden="false" customHeight="false" outlineLevel="0" collapsed="false">
      <c r="A323" s="34"/>
      <c r="B323" s="34"/>
      <c r="C323" s="34"/>
    </row>
    <row r="324" customFormat="false" ht="12.75" hidden="false" customHeight="false" outlineLevel="0" collapsed="false">
      <c r="A324" s="34"/>
      <c r="B324" s="34"/>
      <c r="C324" s="34"/>
    </row>
    <row r="325" customFormat="false" ht="12.75" hidden="false" customHeight="false" outlineLevel="0" collapsed="false">
      <c r="A325" s="34"/>
      <c r="B325" s="34"/>
      <c r="C325" s="34"/>
    </row>
    <row r="326" customFormat="false" ht="12.75" hidden="false" customHeight="false" outlineLevel="0" collapsed="false">
      <c r="A326" s="34"/>
      <c r="B326" s="34"/>
      <c r="C326" s="34"/>
    </row>
    <row r="327" customFormat="false" ht="12.75" hidden="false" customHeight="false" outlineLevel="0" collapsed="false">
      <c r="A327" s="34"/>
      <c r="B327" s="34"/>
      <c r="C327" s="34"/>
    </row>
    <row r="328" customFormat="false" ht="12.75" hidden="false" customHeight="false" outlineLevel="0" collapsed="false">
      <c r="A328" s="34"/>
      <c r="B328" s="34"/>
      <c r="C328" s="34"/>
    </row>
    <row r="329" customFormat="false" ht="12.75" hidden="false" customHeight="false" outlineLevel="0" collapsed="false">
      <c r="A329" s="34"/>
      <c r="B329" s="34"/>
      <c r="C329" s="34"/>
    </row>
    <row r="330" customFormat="false" ht="12.75" hidden="false" customHeight="false" outlineLevel="0" collapsed="false">
      <c r="A330" s="34"/>
      <c r="B330" s="34"/>
      <c r="C330" s="34"/>
    </row>
    <row r="331" customFormat="false" ht="12.75" hidden="false" customHeight="false" outlineLevel="0" collapsed="false">
      <c r="A331" s="34"/>
      <c r="B331" s="34"/>
      <c r="C331" s="34"/>
    </row>
    <row r="332" customFormat="false" ht="12.75" hidden="false" customHeight="false" outlineLevel="0" collapsed="false">
      <c r="A332" s="34"/>
      <c r="B332" s="34"/>
      <c r="C332" s="34"/>
    </row>
    <row r="333" customFormat="false" ht="12.75" hidden="false" customHeight="false" outlineLevel="0" collapsed="false">
      <c r="A333" s="34"/>
      <c r="B333" s="34"/>
      <c r="C333" s="34"/>
    </row>
    <row r="334" customFormat="false" ht="12.75" hidden="false" customHeight="false" outlineLevel="0" collapsed="false">
      <c r="A334" s="34"/>
      <c r="B334" s="34"/>
      <c r="C334" s="34"/>
    </row>
    <row r="335" customFormat="false" ht="12.75" hidden="false" customHeight="false" outlineLevel="0" collapsed="false">
      <c r="A335" s="34"/>
      <c r="B335" s="34"/>
      <c r="C335" s="34"/>
    </row>
    <row r="336" customFormat="false" ht="12.75" hidden="false" customHeight="false" outlineLevel="0" collapsed="false">
      <c r="A336" s="34"/>
      <c r="B336" s="34"/>
      <c r="C336" s="34"/>
    </row>
    <row r="337" customFormat="false" ht="12.75" hidden="false" customHeight="false" outlineLevel="0" collapsed="false">
      <c r="A337" s="34"/>
      <c r="B337" s="34"/>
      <c r="C337" s="34"/>
    </row>
    <row r="338" customFormat="false" ht="12.75" hidden="false" customHeight="false" outlineLevel="0" collapsed="false">
      <c r="A338" s="34"/>
      <c r="B338" s="34"/>
      <c r="C338" s="34"/>
    </row>
    <row r="339" customFormat="false" ht="12.75" hidden="false" customHeight="false" outlineLevel="0" collapsed="false">
      <c r="A339" s="34"/>
      <c r="B339" s="34"/>
      <c r="C339" s="34"/>
    </row>
    <row r="340" customFormat="false" ht="12.75" hidden="false" customHeight="false" outlineLevel="0" collapsed="false">
      <c r="A340" s="34"/>
      <c r="B340" s="34"/>
      <c r="C340" s="34"/>
    </row>
    <row r="341" customFormat="false" ht="12.75" hidden="false" customHeight="false" outlineLevel="0" collapsed="false">
      <c r="A341" s="34"/>
      <c r="B341" s="34"/>
      <c r="C341" s="34"/>
    </row>
    <row r="342" customFormat="false" ht="12.75" hidden="false" customHeight="false" outlineLevel="0" collapsed="false">
      <c r="A342" s="34"/>
      <c r="B342" s="34"/>
      <c r="C342" s="34"/>
    </row>
    <row r="343" customFormat="false" ht="12.75" hidden="false" customHeight="false" outlineLevel="0" collapsed="false">
      <c r="A343" s="34"/>
      <c r="B343" s="34"/>
      <c r="C343" s="34"/>
    </row>
    <row r="344" customFormat="false" ht="12.75" hidden="false" customHeight="false" outlineLevel="0" collapsed="false">
      <c r="A344" s="34"/>
      <c r="B344" s="34"/>
      <c r="C344" s="34"/>
    </row>
    <row r="345" customFormat="false" ht="12.75" hidden="false" customHeight="false" outlineLevel="0" collapsed="false">
      <c r="A345" s="34"/>
      <c r="B345" s="34"/>
      <c r="C345" s="34"/>
    </row>
    <row r="346" customFormat="false" ht="12.75" hidden="false" customHeight="false" outlineLevel="0" collapsed="false">
      <c r="A346" s="34"/>
      <c r="B346" s="34"/>
      <c r="C346" s="34"/>
    </row>
    <row r="347" customFormat="false" ht="12.75" hidden="false" customHeight="false" outlineLevel="0" collapsed="false">
      <c r="A347" s="34"/>
      <c r="B347" s="34"/>
      <c r="C347" s="34"/>
    </row>
    <row r="348" customFormat="false" ht="12.75" hidden="false" customHeight="false" outlineLevel="0" collapsed="false">
      <c r="A348" s="34"/>
      <c r="B348" s="34"/>
      <c r="C348" s="34"/>
    </row>
    <row r="349" customFormat="false" ht="12.75" hidden="false" customHeight="false" outlineLevel="0" collapsed="false">
      <c r="A349" s="34"/>
      <c r="B349" s="34"/>
      <c r="C349" s="34"/>
    </row>
    <row r="350" customFormat="false" ht="12.75" hidden="false" customHeight="false" outlineLevel="0" collapsed="false">
      <c r="A350" s="34"/>
      <c r="B350" s="34"/>
      <c r="C350" s="34"/>
    </row>
    <row r="351" customFormat="false" ht="12.75" hidden="false" customHeight="false" outlineLevel="0" collapsed="false">
      <c r="A351" s="34"/>
      <c r="B351" s="34"/>
      <c r="C351" s="34"/>
    </row>
    <row r="352" customFormat="false" ht="12.75" hidden="false" customHeight="false" outlineLevel="0" collapsed="false">
      <c r="A352" s="34"/>
      <c r="B352" s="34"/>
      <c r="C352" s="34"/>
    </row>
    <row r="353" customFormat="false" ht="12.75" hidden="false" customHeight="false" outlineLevel="0" collapsed="false">
      <c r="A353" s="34"/>
      <c r="B353" s="34"/>
      <c r="C353" s="34"/>
    </row>
    <row r="354" customFormat="false" ht="12.75" hidden="false" customHeight="false" outlineLevel="0" collapsed="false">
      <c r="A354" s="34"/>
      <c r="B354" s="34"/>
      <c r="C354" s="34"/>
    </row>
    <row r="355" customFormat="false" ht="12.75" hidden="false" customHeight="false" outlineLevel="0" collapsed="false">
      <c r="A355" s="34"/>
      <c r="B355" s="34"/>
      <c r="C355" s="34"/>
    </row>
    <row r="356" customFormat="false" ht="12.75" hidden="false" customHeight="false" outlineLevel="0" collapsed="false">
      <c r="A356" s="34"/>
      <c r="B356" s="34"/>
      <c r="C356" s="34"/>
    </row>
    <row r="357" customFormat="false" ht="12.75" hidden="false" customHeight="false" outlineLevel="0" collapsed="false">
      <c r="A357" s="34"/>
      <c r="B357" s="34"/>
      <c r="C357" s="34"/>
    </row>
    <row r="358" customFormat="false" ht="12.75" hidden="false" customHeight="false" outlineLevel="0" collapsed="false">
      <c r="A358" s="34"/>
      <c r="B358" s="34"/>
      <c r="C358" s="34"/>
    </row>
    <row r="359" customFormat="false" ht="12.75" hidden="false" customHeight="false" outlineLevel="0" collapsed="false">
      <c r="A359" s="34"/>
      <c r="B359" s="34"/>
      <c r="C359" s="34"/>
    </row>
    <row r="360" customFormat="false" ht="12.75" hidden="false" customHeight="false" outlineLevel="0" collapsed="false">
      <c r="A360" s="34"/>
      <c r="B360" s="34"/>
      <c r="C360" s="34"/>
    </row>
    <row r="361" customFormat="false" ht="12.75" hidden="false" customHeight="false" outlineLevel="0" collapsed="false">
      <c r="A361" s="34"/>
      <c r="B361" s="34"/>
      <c r="C361" s="34"/>
    </row>
    <row r="362" customFormat="false" ht="12.75" hidden="false" customHeight="false" outlineLevel="0" collapsed="false">
      <c r="A362" s="34"/>
      <c r="B362" s="34"/>
      <c r="C362" s="34"/>
    </row>
    <row r="363" customFormat="false" ht="12.75" hidden="false" customHeight="false" outlineLevel="0" collapsed="false">
      <c r="A363" s="34"/>
      <c r="B363" s="34"/>
      <c r="C363" s="34"/>
    </row>
    <row r="364" customFormat="false" ht="12.75" hidden="false" customHeight="false" outlineLevel="0" collapsed="false">
      <c r="A364" s="34"/>
      <c r="B364" s="34"/>
      <c r="C364" s="34"/>
    </row>
    <row r="365" customFormat="false" ht="12.75" hidden="false" customHeight="false" outlineLevel="0" collapsed="false">
      <c r="A365" s="34"/>
      <c r="B365" s="34"/>
      <c r="C365" s="34"/>
    </row>
    <row r="366" customFormat="false" ht="12.75" hidden="false" customHeight="false" outlineLevel="0" collapsed="false">
      <c r="A366" s="34"/>
      <c r="B366" s="34"/>
      <c r="C366" s="34"/>
    </row>
    <row r="367" customFormat="false" ht="12.75" hidden="false" customHeight="false" outlineLevel="0" collapsed="false">
      <c r="A367" s="34"/>
      <c r="B367" s="34"/>
      <c r="C367" s="34"/>
    </row>
    <row r="368" customFormat="false" ht="12.75" hidden="false" customHeight="false" outlineLevel="0" collapsed="false">
      <c r="A368" s="34"/>
      <c r="B368" s="34"/>
      <c r="C368" s="34"/>
    </row>
    <row r="369" customFormat="false" ht="12.75" hidden="false" customHeight="false" outlineLevel="0" collapsed="false">
      <c r="A369" s="34"/>
      <c r="B369" s="34"/>
      <c r="C369" s="34"/>
    </row>
    <row r="370" customFormat="false" ht="12.75" hidden="false" customHeight="false" outlineLevel="0" collapsed="false">
      <c r="A370" s="34"/>
      <c r="B370" s="34"/>
      <c r="C370" s="34"/>
    </row>
    <row r="371" customFormat="false" ht="12.75" hidden="false" customHeight="false" outlineLevel="0" collapsed="false">
      <c r="A371" s="34"/>
      <c r="B371" s="34"/>
      <c r="C371" s="34"/>
    </row>
    <row r="372" customFormat="false" ht="12.75" hidden="false" customHeight="false" outlineLevel="0" collapsed="false">
      <c r="A372" s="34"/>
      <c r="B372" s="34"/>
      <c r="C372" s="34"/>
    </row>
    <row r="373" customFormat="false" ht="12.75" hidden="false" customHeight="false" outlineLevel="0" collapsed="false">
      <c r="A373" s="34"/>
      <c r="B373" s="34"/>
      <c r="C373" s="34"/>
    </row>
    <row r="374" customFormat="false" ht="12.75" hidden="false" customHeight="false" outlineLevel="0" collapsed="false">
      <c r="A374" s="34"/>
      <c r="B374" s="34"/>
      <c r="C374" s="34"/>
    </row>
    <row r="375" customFormat="false" ht="12.75" hidden="false" customHeight="false" outlineLevel="0" collapsed="false">
      <c r="A375" s="34"/>
      <c r="B375" s="34"/>
      <c r="C375" s="34"/>
    </row>
    <row r="376" customFormat="false" ht="12.75" hidden="false" customHeight="false" outlineLevel="0" collapsed="false">
      <c r="A376" s="34"/>
      <c r="B376" s="34"/>
      <c r="C376" s="34"/>
    </row>
    <row r="377" customFormat="false" ht="12.75" hidden="false" customHeight="false" outlineLevel="0" collapsed="false">
      <c r="A377" s="34"/>
      <c r="B377" s="34"/>
      <c r="C377" s="34"/>
    </row>
    <row r="378" customFormat="false" ht="12.75" hidden="false" customHeight="false" outlineLevel="0" collapsed="false">
      <c r="A378" s="34"/>
      <c r="B378" s="34"/>
      <c r="C378" s="34"/>
    </row>
    <row r="379" customFormat="false" ht="12.75" hidden="false" customHeight="false" outlineLevel="0" collapsed="false">
      <c r="A379" s="34"/>
      <c r="B379" s="34"/>
      <c r="C379" s="34"/>
    </row>
    <row r="380" customFormat="false" ht="12.75" hidden="false" customHeight="false" outlineLevel="0" collapsed="false">
      <c r="A380" s="34"/>
      <c r="B380" s="34"/>
      <c r="C380" s="34"/>
    </row>
    <row r="381" customFormat="false" ht="12.75" hidden="false" customHeight="false" outlineLevel="0" collapsed="false">
      <c r="A381" s="34"/>
      <c r="B381" s="34"/>
      <c r="C381" s="34"/>
    </row>
    <row r="382" customFormat="false" ht="12.75" hidden="false" customHeight="false" outlineLevel="0" collapsed="false">
      <c r="A382" s="34"/>
      <c r="B382" s="34"/>
      <c r="C382" s="34"/>
    </row>
    <row r="383" customFormat="false" ht="12.75" hidden="false" customHeight="false" outlineLevel="0" collapsed="false">
      <c r="A383" s="34"/>
      <c r="B383" s="34"/>
      <c r="C383" s="34"/>
    </row>
    <row r="384" customFormat="false" ht="12.75" hidden="false" customHeight="false" outlineLevel="0" collapsed="false">
      <c r="A384" s="34"/>
      <c r="B384" s="34"/>
      <c r="C384" s="34"/>
    </row>
    <row r="385" customFormat="false" ht="12.75" hidden="false" customHeight="false" outlineLevel="0" collapsed="false">
      <c r="A385" s="34"/>
      <c r="B385" s="34"/>
      <c r="C385" s="34"/>
    </row>
    <row r="386" customFormat="false" ht="12.75" hidden="false" customHeight="false" outlineLevel="0" collapsed="false">
      <c r="A386" s="34"/>
      <c r="B386" s="34"/>
      <c r="C386" s="34"/>
    </row>
    <row r="387" customFormat="false" ht="12.75" hidden="false" customHeight="false" outlineLevel="0" collapsed="false">
      <c r="A387" s="34"/>
      <c r="B387" s="34"/>
      <c r="C387" s="34"/>
    </row>
    <row r="388" customFormat="false" ht="12.75" hidden="false" customHeight="false" outlineLevel="0" collapsed="false">
      <c r="A388" s="34"/>
      <c r="B388" s="34"/>
      <c r="C388" s="34"/>
    </row>
    <row r="389" customFormat="false" ht="12.75" hidden="false" customHeight="false" outlineLevel="0" collapsed="false">
      <c r="A389" s="34"/>
      <c r="B389" s="34"/>
      <c r="C389" s="34"/>
    </row>
    <row r="390" customFormat="false" ht="12.75" hidden="false" customHeight="false" outlineLevel="0" collapsed="false">
      <c r="A390" s="34"/>
      <c r="B390" s="34"/>
      <c r="C390" s="34"/>
    </row>
    <row r="391" customFormat="false" ht="12.75" hidden="false" customHeight="false" outlineLevel="0" collapsed="false">
      <c r="A391" s="34"/>
      <c r="B391" s="34"/>
      <c r="C391" s="34"/>
    </row>
    <row r="392" customFormat="false" ht="12.75" hidden="false" customHeight="false" outlineLevel="0" collapsed="false">
      <c r="A392" s="34"/>
      <c r="B392" s="34"/>
      <c r="C392" s="34"/>
    </row>
    <row r="393" customFormat="false" ht="12.75" hidden="false" customHeight="false" outlineLevel="0" collapsed="false">
      <c r="A393" s="34"/>
      <c r="B393" s="34"/>
      <c r="C393" s="34"/>
    </row>
    <row r="394" customFormat="false" ht="12.75" hidden="false" customHeight="false" outlineLevel="0" collapsed="false">
      <c r="A394" s="34"/>
      <c r="B394" s="34"/>
      <c r="C394" s="34"/>
    </row>
    <row r="395" customFormat="false" ht="12.75" hidden="false" customHeight="false" outlineLevel="0" collapsed="false">
      <c r="A395" s="34"/>
      <c r="B395" s="34"/>
      <c r="C395" s="34"/>
    </row>
    <row r="396" customFormat="false" ht="12.75" hidden="false" customHeight="false" outlineLevel="0" collapsed="false">
      <c r="A396" s="34"/>
      <c r="B396" s="34"/>
      <c r="C396" s="34"/>
    </row>
    <row r="397" customFormat="false" ht="12.75" hidden="false" customHeight="false" outlineLevel="0" collapsed="false">
      <c r="A397" s="34"/>
      <c r="B397" s="34"/>
      <c r="C397" s="34"/>
    </row>
    <row r="398" customFormat="false" ht="12.75" hidden="false" customHeight="false" outlineLevel="0" collapsed="false">
      <c r="A398" s="34"/>
      <c r="B398" s="34"/>
      <c r="C398" s="34"/>
    </row>
    <row r="399" customFormat="false" ht="12.75" hidden="false" customHeight="false" outlineLevel="0" collapsed="false">
      <c r="A399" s="34"/>
      <c r="B399" s="34"/>
      <c r="C399" s="34"/>
    </row>
    <row r="400" customFormat="false" ht="12.75" hidden="false" customHeight="false" outlineLevel="0" collapsed="false">
      <c r="A400" s="34"/>
      <c r="B400" s="34"/>
      <c r="C400" s="34"/>
    </row>
    <row r="401" customFormat="false" ht="12.75" hidden="false" customHeight="false" outlineLevel="0" collapsed="false">
      <c r="A401" s="34"/>
      <c r="B401" s="34"/>
      <c r="C401" s="34"/>
    </row>
    <row r="402" customFormat="false" ht="12.75" hidden="false" customHeight="false" outlineLevel="0" collapsed="false">
      <c r="A402" s="34"/>
      <c r="B402" s="34"/>
      <c r="C402" s="34"/>
    </row>
    <row r="403" customFormat="false" ht="12.75" hidden="false" customHeight="false" outlineLevel="0" collapsed="false">
      <c r="A403" s="34"/>
      <c r="B403" s="34"/>
      <c r="C403" s="34"/>
    </row>
    <row r="404" customFormat="false" ht="12.75" hidden="false" customHeight="false" outlineLevel="0" collapsed="false">
      <c r="A404" s="34"/>
      <c r="B404" s="34"/>
      <c r="C404" s="34"/>
    </row>
    <row r="405" customFormat="false" ht="12.75" hidden="false" customHeight="false" outlineLevel="0" collapsed="false">
      <c r="A405" s="34"/>
      <c r="B405" s="34"/>
      <c r="C405" s="34"/>
    </row>
    <row r="406" customFormat="false" ht="12.75" hidden="false" customHeight="false" outlineLevel="0" collapsed="false">
      <c r="A406" s="34"/>
      <c r="B406" s="34"/>
      <c r="C406" s="34"/>
    </row>
    <row r="407" customFormat="false" ht="12.75" hidden="false" customHeight="false" outlineLevel="0" collapsed="false">
      <c r="A407" s="34"/>
      <c r="B407" s="34"/>
      <c r="C407" s="34"/>
    </row>
    <row r="408" customFormat="false" ht="12.75" hidden="false" customHeight="false" outlineLevel="0" collapsed="false">
      <c r="A408" s="34"/>
      <c r="B408" s="34"/>
      <c r="C408" s="34"/>
    </row>
    <row r="409" customFormat="false" ht="12.75" hidden="false" customHeight="false" outlineLevel="0" collapsed="false">
      <c r="A409" s="34"/>
      <c r="B409" s="34"/>
      <c r="C409" s="34"/>
    </row>
    <row r="410" customFormat="false" ht="12.75" hidden="false" customHeight="false" outlineLevel="0" collapsed="false">
      <c r="A410" s="34"/>
      <c r="B410" s="34"/>
      <c r="C410" s="34"/>
    </row>
    <row r="411" customFormat="false" ht="12.75" hidden="false" customHeight="false" outlineLevel="0" collapsed="false">
      <c r="A411" s="34"/>
      <c r="B411" s="34"/>
      <c r="C411" s="34"/>
    </row>
    <row r="412" customFormat="false" ht="12.75" hidden="false" customHeight="false" outlineLevel="0" collapsed="false">
      <c r="A412" s="34"/>
      <c r="B412" s="34"/>
      <c r="C412" s="34"/>
    </row>
    <row r="413" customFormat="false" ht="12.75" hidden="false" customHeight="false" outlineLevel="0" collapsed="false">
      <c r="A413" s="34"/>
      <c r="B413" s="34"/>
      <c r="C413" s="34"/>
    </row>
    <row r="414" customFormat="false" ht="12.75" hidden="false" customHeight="false" outlineLevel="0" collapsed="false">
      <c r="A414" s="34"/>
      <c r="B414" s="34"/>
      <c r="C414" s="34"/>
    </row>
    <row r="415" customFormat="false" ht="12.75" hidden="false" customHeight="false" outlineLevel="0" collapsed="false">
      <c r="A415" s="34"/>
      <c r="B415" s="34"/>
      <c r="C415" s="34"/>
    </row>
    <row r="416" customFormat="false" ht="12.75" hidden="false" customHeight="false" outlineLevel="0" collapsed="false">
      <c r="A416" s="34"/>
      <c r="B416" s="34"/>
      <c r="C416" s="34"/>
    </row>
    <row r="417" customFormat="false" ht="12.75" hidden="false" customHeight="false" outlineLevel="0" collapsed="false">
      <c r="A417" s="34"/>
      <c r="B417" s="34"/>
      <c r="C417" s="34"/>
    </row>
    <row r="418" customFormat="false" ht="12.75" hidden="false" customHeight="false" outlineLevel="0" collapsed="false">
      <c r="A418" s="34"/>
      <c r="B418" s="34"/>
      <c r="C418" s="34"/>
    </row>
    <row r="419" customFormat="false" ht="12.75" hidden="false" customHeight="false" outlineLevel="0" collapsed="false">
      <c r="A419" s="34"/>
      <c r="B419" s="34"/>
      <c r="C419" s="34"/>
    </row>
    <row r="420" customFormat="false" ht="12.75" hidden="false" customHeight="false" outlineLevel="0" collapsed="false">
      <c r="A420" s="34"/>
      <c r="B420" s="34"/>
      <c r="C420" s="34"/>
    </row>
    <row r="421" customFormat="false" ht="12.75" hidden="false" customHeight="false" outlineLevel="0" collapsed="false">
      <c r="A421" s="34"/>
      <c r="B421" s="34"/>
      <c r="C421" s="34"/>
    </row>
    <row r="422" customFormat="false" ht="12.75" hidden="false" customHeight="false" outlineLevel="0" collapsed="false">
      <c r="A422" s="34"/>
      <c r="B422" s="34"/>
      <c r="C422" s="34"/>
    </row>
    <row r="423" customFormat="false" ht="12.75" hidden="false" customHeight="false" outlineLevel="0" collapsed="false">
      <c r="A423" s="34"/>
      <c r="B423" s="34"/>
      <c r="C423" s="34"/>
    </row>
    <row r="424" customFormat="false" ht="12.75" hidden="false" customHeight="false" outlineLevel="0" collapsed="false">
      <c r="A424" s="34"/>
      <c r="B424" s="34"/>
      <c r="C424" s="34"/>
    </row>
    <row r="425" customFormat="false" ht="12.75" hidden="false" customHeight="false" outlineLevel="0" collapsed="false">
      <c r="A425" s="34"/>
      <c r="B425" s="34"/>
      <c r="C425" s="34"/>
    </row>
    <row r="426" customFormat="false" ht="12.75" hidden="false" customHeight="false" outlineLevel="0" collapsed="false">
      <c r="A426" s="34"/>
      <c r="B426" s="34"/>
      <c r="C426" s="34"/>
    </row>
    <row r="427" customFormat="false" ht="12.75" hidden="false" customHeight="false" outlineLevel="0" collapsed="false">
      <c r="A427" s="34"/>
      <c r="B427" s="34"/>
      <c r="C427" s="34"/>
    </row>
    <row r="428" customFormat="false" ht="12.75" hidden="false" customHeight="false" outlineLevel="0" collapsed="false">
      <c r="A428" s="34"/>
      <c r="B428" s="34"/>
      <c r="C428" s="34"/>
    </row>
    <row r="429" customFormat="false" ht="12.75" hidden="false" customHeight="false" outlineLevel="0" collapsed="false">
      <c r="A429" s="34"/>
      <c r="B429" s="34"/>
      <c r="C429" s="34"/>
    </row>
    <row r="430" customFormat="false" ht="12.75" hidden="false" customHeight="false" outlineLevel="0" collapsed="false">
      <c r="A430" s="34"/>
      <c r="B430" s="34"/>
      <c r="C430" s="34"/>
    </row>
    <row r="431" customFormat="false" ht="12.75" hidden="false" customHeight="false" outlineLevel="0" collapsed="false">
      <c r="A431" s="34"/>
      <c r="B431" s="34"/>
      <c r="C431" s="34"/>
    </row>
    <row r="432" customFormat="false" ht="12.75" hidden="false" customHeight="false" outlineLevel="0" collapsed="false">
      <c r="A432" s="34"/>
      <c r="B432" s="34"/>
      <c r="C432" s="34"/>
    </row>
    <row r="433" customFormat="false" ht="12.75" hidden="false" customHeight="false" outlineLevel="0" collapsed="false">
      <c r="A433" s="34"/>
      <c r="B433" s="34"/>
      <c r="C433" s="34"/>
    </row>
    <row r="434" customFormat="false" ht="12.75" hidden="false" customHeight="false" outlineLevel="0" collapsed="false">
      <c r="A434" s="34"/>
      <c r="B434" s="34"/>
      <c r="C434" s="34"/>
    </row>
    <row r="435" customFormat="false" ht="12.75" hidden="false" customHeight="false" outlineLevel="0" collapsed="false">
      <c r="A435" s="34"/>
      <c r="B435" s="34"/>
      <c r="C435" s="34"/>
    </row>
    <row r="436" customFormat="false" ht="12.75" hidden="false" customHeight="false" outlineLevel="0" collapsed="false">
      <c r="A436" s="34"/>
      <c r="B436" s="34"/>
      <c r="C436" s="34"/>
    </row>
    <row r="437" customFormat="false" ht="12.75" hidden="false" customHeight="false" outlineLevel="0" collapsed="false">
      <c r="A437" s="34"/>
      <c r="B437" s="34"/>
      <c r="C437" s="34"/>
    </row>
    <row r="438" customFormat="false" ht="12.75" hidden="false" customHeight="false" outlineLevel="0" collapsed="false">
      <c r="A438" s="34"/>
      <c r="B438" s="34"/>
      <c r="C438" s="34"/>
    </row>
    <row r="439" customFormat="false" ht="12.75" hidden="false" customHeight="false" outlineLevel="0" collapsed="false">
      <c r="A439" s="34"/>
      <c r="B439" s="34"/>
      <c r="C439" s="34"/>
    </row>
    <row r="440" customFormat="false" ht="12.75" hidden="false" customHeight="false" outlineLevel="0" collapsed="false">
      <c r="A440" s="34"/>
      <c r="B440" s="34"/>
      <c r="C440" s="34"/>
    </row>
    <row r="441" customFormat="false" ht="12.75" hidden="false" customHeight="false" outlineLevel="0" collapsed="false">
      <c r="A441" s="34"/>
      <c r="B441" s="34"/>
      <c r="C441" s="34"/>
    </row>
    <row r="442" customFormat="false" ht="12.75" hidden="false" customHeight="false" outlineLevel="0" collapsed="false">
      <c r="A442" s="34"/>
      <c r="B442" s="34"/>
      <c r="C442" s="34"/>
    </row>
    <row r="443" customFormat="false" ht="12.75" hidden="false" customHeight="false" outlineLevel="0" collapsed="false">
      <c r="A443" s="34"/>
      <c r="B443" s="34"/>
      <c r="C443" s="34"/>
    </row>
    <row r="444" customFormat="false" ht="12.75" hidden="false" customHeight="false" outlineLevel="0" collapsed="false">
      <c r="A444" s="34"/>
      <c r="B444" s="34"/>
      <c r="C444" s="34"/>
    </row>
    <row r="445" customFormat="false" ht="12.75" hidden="false" customHeight="false" outlineLevel="0" collapsed="false">
      <c r="A445" s="34"/>
      <c r="B445" s="34"/>
      <c r="C445" s="34"/>
    </row>
    <row r="446" customFormat="false" ht="12.75" hidden="false" customHeight="false" outlineLevel="0" collapsed="false">
      <c r="A446" s="34"/>
      <c r="B446" s="34"/>
      <c r="C446" s="34"/>
    </row>
    <row r="447" customFormat="false" ht="12.75" hidden="false" customHeight="false" outlineLevel="0" collapsed="false">
      <c r="A447" s="34"/>
      <c r="B447" s="34"/>
      <c r="C447" s="34"/>
    </row>
    <row r="448" customFormat="false" ht="12.75" hidden="false" customHeight="false" outlineLevel="0" collapsed="false">
      <c r="A448" s="34"/>
      <c r="B448" s="34"/>
      <c r="C448" s="34"/>
    </row>
    <row r="449" customFormat="false" ht="12.75" hidden="false" customHeight="false" outlineLevel="0" collapsed="false">
      <c r="A449" s="34"/>
      <c r="B449" s="34"/>
      <c r="C449" s="34"/>
    </row>
    <row r="450" customFormat="false" ht="12.75" hidden="false" customHeight="false" outlineLevel="0" collapsed="false">
      <c r="A450" s="34"/>
      <c r="B450" s="34"/>
      <c r="C450" s="34"/>
    </row>
    <row r="451" customFormat="false" ht="12.75" hidden="false" customHeight="false" outlineLevel="0" collapsed="false">
      <c r="A451" s="34"/>
      <c r="B451" s="34"/>
      <c r="C451" s="34"/>
    </row>
    <row r="452" customFormat="false" ht="12.75" hidden="false" customHeight="false" outlineLevel="0" collapsed="false">
      <c r="A452" s="34"/>
      <c r="B452" s="34"/>
      <c r="C452" s="34"/>
    </row>
    <row r="453" customFormat="false" ht="12.75" hidden="false" customHeight="false" outlineLevel="0" collapsed="false">
      <c r="A453" s="34"/>
      <c r="B453" s="34"/>
      <c r="C453" s="34"/>
    </row>
    <row r="454" customFormat="false" ht="12.75" hidden="false" customHeight="false" outlineLevel="0" collapsed="false">
      <c r="A454" s="34"/>
      <c r="B454" s="34"/>
      <c r="C454" s="34"/>
    </row>
    <row r="455" customFormat="false" ht="12.75" hidden="false" customHeight="false" outlineLevel="0" collapsed="false">
      <c r="A455" s="34"/>
      <c r="B455" s="34"/>
      <c r="C455" s="34"/>
    </row>
    <row r="456" customFormat="false" ht="12.75" hidden="false" customHeight="false" outlineLevel="0" collapsed="false">
      <c r="A456" s="34"/>
      <c r="B456" s="34"/>
      <c r="C456" s="34"/>
    </row>
    <row r="457" customFormat="false" ht="12.75" hidden="false" customHeight="false" outlineLevel="0" collapsed="false">
      <c r="A457" s="34"/>
      <c r="B457" s="34"/>
      <c r="C457" s="34"/>
    </row>
    <row r="458" customFormat="false" ht="12.75" hidden="false" customHeight="false" outlineLevel="0" collapsed="false">
      <c r="A458" s="34"/>
      <c r="B458" s="34"/>
      <c r="C458" s="34"/>
    </row>
    <row r="459" customFormat="false" ht="12.75" hidden="false" customHeight="false" outlineLevel="0" collapsed="false">
      <c r="A459" s="34"/>
      <c r="B459" s="34"/>
      <c r="C459" s="34"/>
    </row>
    <row r="460" customFormat="false" ht="12.75" hidden="false" customHeight="false" outlineLevel="0" collapsed="false">
      <c r="A460" s="34"/>
      <c r="B460" s="34"/>
      <c r="C460" s="34"/>
    </row>
    <row r="461" customFormat="false" ht="12.75" hidden="false" customHeight="false" outlineLevel="0" collapsed="false">
      <c r="A461" s="34"/>
      <c r="B461" s="34"/>
      <c r="C461" s="34"/>
    </row>
    <row r="462" customFormat="false" ht="12.75" hidden="false" customHeight="false" outlineLevel="0" collapsed="false">
      <c r="A462" s="34"/>
      <c r="B462" s="34"/>
      <c r="C462" s="34"/>
    </row>
    <row r="463" customFormat="false" ht="12.75" hidden="false" customHeight="false" outlineLevel="0" collapsed="false">
      <c r="A463" s="34"/>
      <c r="B463" s="34"/>
      <c r="C463" s="34"/>
    </row>
    <row r="464" customFormat="false" ht="12.75" hidden="false" customHeight="false" outlineLevel="0" collapsed="false">
      <c r="A464" s="34"/>
      <c r="B464" s="34"/>
      <c r="C464" s="34"/>
    </row>
    <row r="465" customFormat="false" ht="12.75" hidden="false" customHeight="false" outlineLevel="0" collapsed="false">
      <c r="A465" s="34"/>
      <c r="B465" s="34"/>
      <c r="C465" s="34"/>
    </row>
    <row r="466" customFormat="false" ht="12.75" hidden="false" customHeight="false" outlineLevel="0" collapsed="false">
      <c r="A466" s="34"/>
      <c r="B466" s="34"/>
      <c r="C466" s="34"/>
    </row>
    <row r="467" customFormat="false" ht="12.75" hidden="false" customHeight="false" outlineLevel="0" collapsed="false">
      <c r="A467" s="34"/>
      <c r="B467" s="34"/>
      <c r="C467" s="34"/>
    </row>
    <row r="468" customFormat="false" ht="12.75" hidden="false" customHeight="false" outlineLevel="0" collapsed="false">
      <c r="A468" s="34"/>
      <c r="B468" s="34"/>
      <c r="C468" s="34"/>
    </row>
    <row r="469" customFormat="false" ht="12.75" hidden="false" customHeight="false" outlineLevel="0" collapsed="false">
      <c r="A469" s="34"/>
      <c r="B469" s="34"/>
      <c r="C469" s="34"/>
    </row>
    <row r="470" customFormat="false" ht="12.75" hidden="false" customHeight="false" outlineLevel="0" collapsed="false">
      <c r="A470" s="34"/>
      <c r="B470" s="34"/>
      <c r="C470" s="34"/>
    </row>
    <row r="471" customFormat="false" ht="12.75" hidden="false" customHeight="false" outlineLevel="0" collapsed="false">
      <c r="A471" s="34"/>
      <c r="B471" s="34"/>
      <c r="C471" s="34"/>
    </row>
    <row r="472" customFormat="false" ht="12.75" hidden="false" customHeight="false" outlineLevel="0" collapsed="false">
      <c r="A472" s="34"/>
      <c r="B472" s="34"/>
      <c r="C472" s="34"/>
    </row>
    <row r="473" customFormat="false" ht="12.75" hidden="false" customHeight="false" outlineLevel="0" collapsed="false">
      <c r="A473" s="34"/>
      <c r="B473" s="34"/>
      <c r="C473" s="34"/>
    </row>
    <row r="474" customFormat="false" ht="12.75" hidden="false" customHeight="false" outlineLevel="0" collapsed="false">
      <c r="A474" s="34"/>
      <c r="B474" s="34"/>
      <c r="C474" s="34"/>
    </row>
    <row r="475" customFormat="false" ht="12.75" hidden="false" customHeight="false" outlineLevel="0" collapsed="false">
      <c r="A475" s="34"/>
      <c r="B475" s="34"/>
      <c r="C475" s="34"/>
    </row>
    <row r="476" customFormat="false" ht="12.75" hidden="false" customHeight="false" outlineLevel="0" collapsed="false">
      <c r="A476" s="34"/>
      <c r="B476" s="34"/>
      <c r="C476" s="34"/>
    </row>
    <row r="477" customFormat="false" ht="12.75" hidden="false" customHeight="false" outlineLevel="0" collapsed="false">
      <c r="A477" s="34"/>
      <c r="B477" s="34"/>
      <c r="C477" s="34"/>
    </row>
    <row r="478" customFormat="false" ht="12.75" hidden="false" customHeight="false" outlineLevel="0" collapsed="false">
      <c r="A478" s="34"/>
      <c r="B478" s="34"/>
      <c r="C478" s="34"/>
    </row>
    <row r="479" customFormat="false" ht="12.75" hidden="false" customHeight="false" outlineLevel="0" collapsed="false">
      <c r="A479" s="34"/>
      <c r="B479" s="34"/>
      <c r="C479" s="34"/>
    </row>
    <row r="480" customFormat="false" ht="12.75" hidden="false" customHeight="false" outlineLevel="0" collapsed="false">
      <c r="A480" s="34"/>
      <c r="B480" s="34"/>
      <c r="C480" s="34"/>
    </row>
    <row r="481" customFormat="false" ht="12.75" hidden="false" customHeight="false" outlineLevel="0" collapsed="false">
      <c r="A481" s="34"/>
      <c r="B481" s="34"/>
      <c r="C481" s="34"/>
    </row>
    <row r="482" customFormat="false" ht="12.75" hidden="false" customHeight="false" outlineLevel="0" collapsed="false">
      <c r="A482" s="34"/>
      <c r="B482" s="34"/>
      <c r="C482" s="34"/>
    </row>
    <row r="483" customFormat="false" ht="12.75" hidden="false" customHeight="false" outlineLevel="0" collapsed="false">
      <c r="A483" s="34"/>
      <c r="B483" s="34"/>
      <c r="C483" s="34"/>
    </row>
    <row r="484" customFormat="false" ht="12.75" hidden="false" customHeight="false" outlineLevel="0" collapsed="false">
      <c r="A484" s="34"/>
      <c r="B484" s="34"/>
      <c r="C484" s="34"/>
    </row>
    <row r="485" customFormat="false" ht="12.75" hidden="false" customHeight="false" outlineLevel="0" collapsed="false">
      <c r="A485" s="34"/>
      <c r="B485" s="34"/>
      <c r="C485" s="34"/>
    </row>
    <row r="486" customFormat="false" ht="12.75" hidden="false" customHeight="false" outlineLevel="0" collapsed="false">
      <c r="A486" s="34"/>
      <c r="B486" s="34"/>
      <c r="C486" s="34"/>
    </row>
    <row r="487" customFormat="false" ht="12.75" hidden="false" customHeight="false" outlineLevel="0" collapsed="false">
      <c r="A487" s="34"/>
      <c r="B487" s="34"/>
      <c r="C487" s="34"/>
    </row>
    <row r="488" customFormat="false" ht="12.75" hidden="false" customHeight="false" outlineLevel="0" collapsed="false">
      <c r="A488" s="34"/>
      <c r="B488" s="34"/>
      <c r="C488" s="34"/>
    </row>
    <row r="489" customFormat="false" ht="12.75" hidden="false" customHeight="false" outlineLevel="0" collapsed="false">
      <c r="A489" s="34"/>
      <c r="B489" s="34"/>
      <c r="C489" s="34"/>
    </row>
    <row r="490" customFormat="false" ht="12.75" hidden="false" customHeight="false" outlineLevel="0" collapsed="false">
      <c r="A490" s="34"/>
      <c r="B490" s="34"/>
      <c r="C490" s="34"/>
    </row>
    <row r="491" customFormat="false" ht="12.75" hidden="false" customHeight="false" outlineLevel="0" collapsed="false">
      <c r="A491" s="34"/>
      <c r="B491" s="34"/>
      <c r="C491" s="34"/>
    </row>
    <row r="492" customFormat="false" ht="12.75" hidden="false" customHeight="false" outlineLevel="0" collapsed="false">
      <c r="A492" s="34"/>
      <c r="B492" s="34"/>
      <c r="C492" s="34"/>
    </row>
    <row r="493" customFormat="false" ht="12.75" hidden="false" customHeight="false" outlineLevel="0" collapsed="false">
      <c r="A493" s="34"/>
      <c r="B493" s="34"/>
      <c r="C493" s="34"/>
    </row>
    <row r="494" customFormat="false" ht="12.75" hidden="false" customHeight="false" outlineLevel="0" collapsed="false">
      <c r="A494" s="34"/>
      <c r="B494" s="34"/>
      <c r="C494" s="34"/>
    </row>
    <row r="495" customFormat="false" ht="12.75" hidden="false" customHeight="false" outlineLevel="0" collapsed="false">
      <c r="A495" s="34"/>
      <c r="B495" s="34"/>
      <c r="C495" s="34"/>
    </row>
    <row r="496" customFormat="false" ht="12.75" hidden="false" customHeight="false" outlineLevel="0" collapsed="false">
      <c r="A496" s="34"/>
      <c r="B496" s="34"/>
      <c r="C496" s="34"/>
    </row>
    <row r="497" customFormat="false" ht="12.75" hidden="false" customHeight="false" outlineLevel="0" collapsed="false">
      <c r="A497" s="34"/>
      <c r="B497" s="34"/>
      <c r="C497" s="34"/>
    </row>
    <row r="498" customFormat="false" ht="12.75" hidden="false" customHeight="false" outlineLevel="0" collapsed="false">
      <c r="A498" s="34"/>
      <c r="B498" s="34"/>
      <c r="C498" s="34"/>
    </row>
    <row r="499" customFormat="false" ht="12.75" hidden="false" customHeight="false" outlineLevel="0" collapsed="false">
      <c r="A499" s="34"/>
      <c r="B499" s="34"/>
      <c r="C499" s="34"/>
    </row>
    <row r="500" customFormat="false" ht="12.75" hidden="false" customHeight="false" outlineLevel="0" collapsed="false">
      <c r="A500" s="34"/>
      <c r="B500" s="34"/>
      <c r="C500" s="34"/>
    </row>
    <row r="501" customFormat="false" ht="12.75" hidden="false" customHeight="false" outlineLevel="0" collapsed="false">
      <c r="A501" s="34"/>
      <c r="B501" s="34"/>
      <c r="C501" s="34"/>
    </row>
    <row r="502" customFormat="false" ht="12.75" hidden="false" customHeight="false" outlineLevel="0" collapsed="false">
      <c r="A502" s="34"/>
      <c r="B502" s="34"/>
      <c r="C502" s="34"/>
    </row>
    <row r="503" customFormat="false" ht="12.75" hidden="false" customHeight="false" outlineLevel="0" collapsed="false">
      <c r="A503" s="34"/>
      <c r="B503" s="34"/>
      <c r="C503" s="34"/>
    </row>
    <row r="504" customFormat="false" ht="12.75" hidden="false" customHeight="false" outlineLevel="0" collapsed="false">
      <c r="A504" s="34"/>
      <c r="B504" s="34"/>
      <c r="C504" s="34"/>
    </row>
    <row r="505" customFormat="false" ht="12.75" hidden="false" customHeight="false" outlineLevel="0" collapsed="false">
      <c r="A505" s="34"/>
      <c r="B505" s="34"/>
      <c r="C505" s="34"/>
    </row>
    <row r="506" customFormat="false" ht="12.75" hidden="false" customHeight="false" outlineLevel="0" collapsed="false">
      <c r="A506" s="34"/>
      <c r="B506" s="34"/>
      <c r="C506" s="34"/>
    </row>
    <row r="507" customFormat="false" ht="12.75" hidden="false" customHeight="false" outlineLevel="0" collapsed="false">
      <c r="A507" s="34"/>
      <c r="B507" s="34"/>
      <c r="C507" s="34"/>
    </row>
    <row r="508" customFormat="false" ht="12.75" hidden="false" customHeight="false" outlineLevel="0" collapsed="false">
      <c r="A508" s="34"/>
      <c r="B508" s="34"/>
      <c r="C508" s="34"/>
    </row>
    <row r="509" customFormat="false" ht="12.75" hidden="false" customHeight="false" outlineLevel="0" collapsed="false">
      <c r="A509" s="34"/>
      <c r="B509" s="34"/>
      <c r="C509" s="34"/>
    </row>
    <row r="510" customFormat="false" ht="12.75" hidden="false" customHeight="false" outlineLevel="0" collapsed="false">
      <c r="A510" s="34"/>
      <c r="B510" s="34"/>
      <c r="C510" s="34"/>
    </row>
    <row r="511" customFormat="false" ht="12.75" hidden="false" customHeight="false" outlineLevel="0" collapsed="false">
      <c r="A511" s="34"/>
      <c r="B511" s="34"/>
      <c r="C511" s="34"/>
    </row>
    <row r="512" customFormat="false" ht="12.75" hidden="false" customHeight="false" outlineLevel="0" collapsed="false">
      <c r="A512" s="34"/>
      <c r="B512" s="34"/>
      <c r="C512" s="34"/>
    </row>
    <row r="513" customFormat="false" ht="12.75" hidden="false" customHeight="false" outlineLevel="0" collapsed="false">
      <c r="A513" s="34"/>
      <c r="B513" s="34"/>
      <c r="C513" s="34"/>
    </row>
    <row r="514" customFormat="false" ht="12.75" hidden="false" customHeight="false" outlineLevel="0" collapsed="false">
      <c r="A514" s="34"/>
      <c r="B514" s="34"/>
      <c r="C514" s="34"/>
    </row>
    <row r="515" customFormat="false" ht="12.75" hidden="false" customHeight="false" outlineLevel="0" collapsed="false">
      <c r="A515" s="34"/>
      <c r="B515" s="34"/>
      <c r="C515" s="34"/>
    </row>
    <row r="516" customFormat="false" ht="12.75" hidden="false" customHeight="false" outlineLevel="0" collapsed="false">
      <c r="A516" s="34"/>
      <c r="B516" s="34"/>
      <c r="C516" s="34"/>
    </row>
    <row r="517" customFormat="false" ht="12.75" hidden="false" customHeight="false" outlineLevel="0" collapsed="false">
      <c r="A517" s="34"/>
      <c r="B517" s="34"/>
      <c r="C517" s="34"/>
    </row>
    <row r="518" customFormat="false" ht="12.75" hidden="false" customHeight="false" outlineLevel="0" collapsed="false">
      <c r="A518" s="34"/>
      <c r="B518" s="34"/>
      <c r="C518" s="34"/>
    </row>
    <row r="519" customFormat="false" ht="12.75" hidden="false" customHeight="false" outlineLevel="0" collapsed="false">
      <c r="A519" s="34"/>
      <c r="B519" s="34"/>
      <c r="C519" s="34"/>
    </row>
    <row r="520" customFormat="false" ht="12.75" hidden="false" customHeight="false" outlineLevel="0" collapsed="false">
      <c r="A520" s="34"/>
      <c r="B520" s="34"/>
      <c r="C520" s="34"/>
    </row>
    <row r="521" customFormat="false" ht="12.75" hidden="false" customHeight="false" outlineLevel="0" collapsed="false">
      <c r="A521" s="34"/>
      <c r="B521" s="34"/>
      <c r="C521" s="34"/>
    </row>
    <row r="522" customFormat="false" ht="12.75" hidden="false" customHeight="false" outlineLevel="0" collapsed="false">
      <c r="A522" s="34"/>
      <c r="B522" s="34"/>
      <c r="C522" s="34"/>
    </row>
    <row r="523" customFormat="false" ht="12.75" hidden="false" customHeight="false" outlineLevel="0" collapsed="false">
      <c r="A523" s="34"/>
      <c r="B523" s="34"/>
      <c r="C523" s="34"/>
    </row>
    <row r="524" customFormat="false" ht="12.75" hidden="false" customHeight="false" outlineLevel="0" collapsed="false">
      <c r="A524" s="34"/>
      <c r="B524" s="34"/>
      <c r="C524" s="34"/>
    </row>
    <row r="525" customFormat="false" ht="12.75" hidden="false" customHeight="false" outlineLevel="0" collapsed="false">
      <c r="A525" s="34"/>
      <c r="B525" s="34"/>
      <c r="C525" s="34"/>
    </row>
    <row r="526" customFormat="false" ht="12.75" hidden="false" customHeight="false" outlineLevel="0" collapsed="false">
      <c r="A526" s="34"/>
      <c r="B526" s="34"/>
      <c r="C526" s="34"/>
    </row>
    <row r="527" customFormat="false" ht="12.75" hidden="false" customHeight="false" outlineLevel="0" collapsed="false">
      <c r="A527" s="34"/>
      <c r="B527" s="34"/>
      <c r="C527" s="34"/>
    </row>
    <row r="528" customFormat="false" ht="12.75" hidden="false" customHeight="false" outlineLevel="0" collapsed="false">
      <c r="A528" s="34"/>
      <c r="B528" s="34"/>
      <c r="C528" s="34"/>
    </row>
    <row r="529" customFormat="false" ht="12.75" hidden="false" customHeight="false" outlineLevel="0" collapsed="false">
      <c r="A529" s="34"/>
      <c r="B529" s="34"/>
      <c r="C529" s="34"/>
    </row>
    <row r="530" customFormat="false" ht="12.75" hidden="false" customHeight="false" outlineLevel="0" collapsed="false">
      <c r="A530" s="34"/>
      <c r="B530" s="34"/>
      <c r="C530" s="34"/>
    </row>
    <row r="531" customFormat="false" ht="12.75" hidden="false" customHeight="false" outlineLevel="0" collapsed="false">
      <c r="A531" s="34"/>
      <c r="B531" s="34"/>
      <c r="C531" s="34"/>
    </row>
    <row r="532" customFormat="false" ht="12.75" hidden="false" customHeight="false" outlineLevel="0" collapsed="false">
      <c r="A532" s="34"/>
      <c r="B532" s="34"/>
      <c r="C532" s="34"/>
    </row>
    <row r="533" customFormat="false" ht="12.75" hidden="false" customHeight="false" outlineLevel="0" collapsed="false">
      <c r="A533" s="34"/>
      <c r="B533" s="34"/>
      <c r="C533" s="34"/>
    </row>
    <row r="534" customFormat="false" ht="12.75" hidden="false" customHeight="false" outlineLevel="0" collapsed="false">
      <c r="A534" s="34"/>
      <c r="B534" s="34"/>
      <c r="C534" s="34"/>
    </row>
    <row r="535" customFormat="false" ht="12.75" hidden="false" customHeight="false" outlineLevel="0" collapsed="false">
      <c r="A535" s="34"/>
      <c r="B535" s="34"/>
      <c r="C535" s="34"/>
    </row>
    <row r="536" customFormat="false" ht="12.75" hidden="false" customHeight="false" outlineLevel="0" collapsed="false">
      <c r="A536" s="34"/>
      <c r="B536" s="34"/>
      <c r="C536" s="34"/>
    </row>
  </sheetData>
  <mergeCells count="4">
    <mergeCell ref="A1:D1"/>
    <mergeCell ref="A2:D2"/>
    <mergeCell ref="A3:D3"/>
    <mergeCell ref="F5:H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:R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3" min="3" style="0" width="2.7"/>
    <col collapsed="false" customWidth="true" hidden="false" outlineLevel="0" max="5" min="5" style="0" width="3.14"/>
    <col collapsed="false" customWidth="true" hidden="false" outlineLevel="0" max="6" min="6" style="0" width="12.56"/>
    <col collapsed="false" customWidth="true" hidden="false" outlineLevel="0" max="7" min="7" style="0" width="3.14"/>
    <col collapsed="false" customWidth="true" hidden="false" outlineLevel="0" max="8" min="8" style="0" width="11.99"/>
    <col collapsed="false" customWidth="true" hidden="false" outlineLevel="0" max="9" min="9" style="0" width="2.7"/>
    <col collapsed="false" customWidth="true" hidden="false" outlineLevel="0" max="11" min="11" style="0" width="2.7"/>
    <col collapsed="false" customWidth="true" hidden="false" outlineLevel="0" max="12" min="12" style="0" width="9.7"/>
    <col collapsed="false" customWidth="true" hidden="false" outlineLevel="0" max="13" min="13" style="0" width="2.7"/>
    <col collapsed="false" customWidth="true" hidden="false" outlineLevel="0" max="14" min="14" style="0" width="13.28"/>
    <col collapsed="false" customWidth="true" hidden="false" outlineLevel="0" max="15" min="15" style="0" width="2.7"/>
    <col collapsed="false" customWidth="true" hidden="false" outlineLevel="0" max="16" min="16" style="0" width="10.85"/>
    <col collapsed="false" customWidth="true" hidden="false" outlineLevel="0" max="17" min="17" style="0" width="2.7"/>
    <col collapsed="false" customWidth="true" hidden="false" outlineLevel="0" max="18" min="18" style="0" width="11.28"/>
    <col collapsed="false" customWidth="true" hidden="false" outlineLevel="0" max="21" min="21" style="0" width="13.28"/>
    <col collapsed="false" customWidth="true" hidden="false" outlineLevel="0" max="23" min="23" style="0" width="14.28"/>
    <col collapsed="false" customWidth="true" hidden="false" outlineLevel="0" max="25" min="25" style="0" width="12.28"/>
  </cols>
  <sheetData>
    <row r="1" customFormat="false" ht="12.75" hidden="false" customHeight="false" outlineLevel="0" collapsed="false">
      <c r="A1" s="23" t="s">
        <v>35</v>
      </c>
    </row>
    <row r="2" customFormat="false" ht="12.75" hidden="false" customHeight="false" outlineLevel="0" collapsed="false">
      <c r="A2" s="5" t="s">
        <v>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customFormat="false" ht="12.75" hidden="false" customHeight="false" outlineLevel="0" collapsed="false">
      <c r="A3" s="5" t="s">
        <v>37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customFormat="false" ht="12.75" hidden="false" customHeight="false" outlineLevel="0" collapsed="false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customFormat="false" ht="12.75" hidden="false" customHeight="false" outlineLevel="0" collapsed="false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customFormat="false" ht="12.75" hidden="false" customHeight="false" outlineLevel="0" collapsed="false">
      <c r="A6" s="25" t="s">
        <v>38</v>
      </c>
      <c r="B6" s="24" t="s">
        <v>39</v>
      </c>
      <c r="C6" s="24"/>
      <c r="D6" s="24" t="s">
        <v>40</v>
      </c>
      <c r="E6" s="24" t="s">
        <v>41</v>
      </c>
      <c r="F6" s="24" t="s">
        <v>42</v>
      </c>
      <c r="G6" s="24" t="s">
        <v>41</v>
      </c>
      <c r="H6" s="24" t="s">
        <v>43</v>
      </c>
      <c r="I6" s="24"/>
      <c r="J6" s="24" t="s">
        <v>44</v>
      </c>
      <c r="K6" s="24" t="s">
        <v>41</v>
      </c>
      <c r="L6" s="24" t="s">
        <v>45</v>
      </c>
      <c r="M6" s="24" t="s">
        <v>41</v>
      </c>
      <c r="N6" s="24" t="s">
        <v>46</v>
      </c>
      <c r="O6" s="24"/>
      <c r="P6" s="24" t="s">
        <v>47</v>
      </c>
      <c r="Q6" s="24"/>
      <c r="R6" s="24" t="s">
        <v>48</v>
      </c>
      <c r="S6" s="24"/>
    </row>
    <row r="7" customFormat="false" ht="12.75" hidden="false" customHeight="false" outlineLevel="0" collapsed="false">
      <c r="A7" s="24"/>
      <c r="B7" s="24"/>
      <c r="C7" s="24"/>
      <c r="D7" s="24"/>
      <c r="E7" s="24"/>
      <c r="F7" s="24"/>
      <c r="G7" s="24"/>
      <c r="H7" s="24" t="s">
        <v>49</v>
      </c>
      <c r="I7" s="24"/>
      <c r="J7" s="24" t="s">
        <v>50</v>
      </c>
      <c r="K7" s="24"/>
      <c r="L7" s="24"/>
      <c r="M7" s="24"/>
      <c r="N7" s="24" t="s">
        <v>51</v>
      </c>
      <c r="O7" s="24"/>
      <c r="P7" s="24" t="s">
        <v>52</v>
      </c>
      <c r="Q7" s="24"/>
      <c r="R7" s="24" t="s">
        <v>53</v>
      </c>
      <c r="S7" s="24"/>
    </row>
    <row r="8" customFormat="false" ht="12.75" hidden="false" customHeight="false" outlineLevel="0" collapsed="false">
      <c r="A8" s="24" t="s">
        <v>54</v>
      </c>
      <c r="B8" s="26" t="n">
        <v>1</v>
      </c>
      <c r="C8" s="26"/>
      <c r="D8" s="24" t="s">
        <v>55</v>
      </c>
      <c r="E8" s="24"/>
      <c r="F8" s="24" t="s">
        <v>56</v>
      </c>
      <c r="G8" s="24"/>
      <c r="H8" s="24" t="s">
        <v>57</v>
      </c>
      <c r="I8" s="24"/>
      <c r="J8" s="24" t="s">
        <v>58</v>
      </c>
      <c r="K8" s="24"/>
      <c r="L8" s="24" t="s">
        <v>59</v>
      </c>
      <c r="M8" s="24"/>
      <c r="N8" s="24" t="s">
        <v>60</v>
      </c>
      <c r="O8" s="24"/>
      <c r="P8" s="24" t="s">
        <v>61</v>
      </c>
      <c r="Q8" s="24"/>
      <c r="R8" s="24" t="s">
        <v>62</v>
      </c>
      <c r="S8" s="24"/>
    </row>
    <row r="9" customFormat="false" ht="12.75" hidden="false" customHeight="false" outlineLevel="0" collapsed="false">
      <c r="A9" s="27"/>
      <c r="B9" s="28" t="s">
        <v>63</v>
      </c>
      <c r="C9" s="28"/>
      <c r="D9" s="28" t="s">
        <v>8</v>
      </c>
      <c r="E9" s="28"/>
      <c r="F9" s="28" t="s">
        <v>64</v>
      </c>
      <c r="G9" s="28"/>
      <c r="H9" s="28" t="s">
        <v>65</v>
      </c>
      <c r="I9" s="28"/>
      <c r="J9" s="28" t="s">
        <v>63</v>
      </c>
      <c r="K9" s="28"/>
      <c r="L9" s="28" t="s">
        <v>66</v>
      </c>
      <c r="M9" s="28"/>
      <c r="N9" s="28" t="s">
        <v>67</v>
      </c>
      <c r="O9" s="28"/>
      <c r="P9" s="28" t="s">
        <v>68</v>
      </c>
      <c r="Q9" s="28"/>
      <c r="R9" s="28" t="s">
        <v>69</v>
      </c>
      <c r="S9" s="24"/>
      <c r="T9" s="0" t="s">
        <v>70</v>
      </c>
    </row>
    <row r="10" customFormat="false" ht="12.75" hidden="false" customHeight="false" outlineLevel="0" collapsed="false">
      <c r="A10" s="25" t="s">
        <v>71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30"/>
      <c r="U10" s="31" t="n">
        <f aca="false">D12</f>
        <v>-80789.8</v>
      </c>
      <c r="V10" s="0" t="n">
        <f aca="false">-403949*0.2</f>
        <v>-80789.8</v>
      </c>
      <c r="W10" s="0" t="s">
        <v>72</v>
      </c>
    </row>
    <row r="11" customFormat="false" ht="12.75" hidden="false" customHeight="false" outlineLevel="0" collapsed="false">
      <c r="A11" s="32" t="s">
        <v>73</v>
      </c>
      <c r="B11" s="30"/>
      <c r="C11" s="30"/>
      <c r="D11" s="30"/>
      <c r="E11" s="30"/>
      <c r="F11" s="30"/>
      <c r="G11" s="30"/>
      <c r="H11" s="30"/>
      <c r="I11" s="30"/>
      <c r="J11" s="33"/>
      <c r="K11" s="30"/>
      <c r="L11" s="30"/>
      <c r="M11" s="30"/>
      <c r="N11" s="30"/>
      <c r="O11" s="30"/>
      <c r="P11" s="30"/>
      <c r="Q11" s="30"/>
      <c r="R11" s="30"/>
      <c r="S11" s="31"/>
      <c r="U11" s="31" t="n">
        <f aca="false">D17</f>
        <v>-8445.2</v>
      </c>
      <c r="V11" s="0" t="n">
        <v>0</v>
      </c>
      <c r="W11" s="0" t="s">
        <v>74</v>
      </c>
    </row>
    <row r="12" customFormat="false" ht="12.75" hidden="false" customHeight="false" outlineLevel="0" collapsed="false">
      <c r="A12" s="0" t="s">
        <v>75</v>
      </c>
      <c r="B12" s="30" t="n">
        <v>403949</v>
      </c>
      <c r="C12" s="30"/>
      <c r="D12" s="30" t="n">
        <f aca="false">-B12*0.2</f>
        <v>-80789.8</v>
      </c>
      <c r="E12" s="30" t="n">
        <v>-1</v>
      </c>
      <c r="F12" s="30"/>
      <c r="G12" s="30"/>
      <c r="H12" s="30" t="n">
        <f aca="false">D12+F12</f>
        <v>-80789.8</v>
      </c>
      <c r="I12" s="30"/>
      <c r="J12" s="33" t="n">
        <f aca="false">SUM(B12:F12)</f>
        <v>323158.2</v>
      </c>
      <c r="K12" s="30"/>
      <c r="L12" s="30" t="n">
        <v>242369</v>
      </c>
      <c r="M12" s="30"/>
      <c r="N12" s="30" t="n">
        <f aca="false">B12-L12</f>
        <v>161580</v>
      </c>
      <c r="O12" s="30"/>
      <c r="P12" s="30" t="n">
        <f aca="false">J12*0.15</f>
        <v>48473.73</v>
      </c>
      <c r="Q12" s="30"/>
      <c r="R12" s="30" t="n">
        <f aca="false">J12-N12-P12</f>
        <v>113104.47</v>
      </c>
      <c r="S12" s="31"/>
      <c r="U12" s="31"/>
    </row>
    <row r="13" customFormat="false" ht="12.75" hidden="false" customHeight="false" outlineLevel="0" collapsed="false">
      <c r="A13" s="34" t="s">
        <v>76</v>
      </c>
      <c r="B13" s="30"/>
      <c r="C13" s="30"/>
      <c r="D13" s="30"/>
      <c r="E13" s="30"/>
      <c r="F13" s="30"/>
      <c r="G13" s="30"/>
      <c r="H13" s="30"/>
      <c r="I13" s="30"/>
      <c r="J13" s="33"/>
      <c r="K13" s="30"/>
      <c r="L13" s="30"/>
      <c r="M13" s="30"/>
      <c r="N13" s="30"/>
      <c r="O13" s="30"/>
      <c r="P13" s="30"/>
      <c r="Q13" s="30"/>
      <c r="R13" s="30" t="n">
        <f aca="false">J13-N13-P13</f>
        <v>0</v>
      </c>
      <c r="S13" s="31"/>
      <c r="U13" s="31" t="n">
        <f aca="false">F17</f>
        <v>-9780.288</v>
      </c>
      <c r="V13" s="0" t="n">
        <v>0</v>
      </c>
      <c r="W13" s="0" t="s">
        <v>77</v>
      </c>
    </row>
    <row r="14" customFormat="false" ht="12.75" hidden="false" customHeight="false" outlineLevel="0" collapsed="false">
      <c r="B14" s="30"/>
      <c r="C14" s="30"/>
      <c r="D14" s="30"/>
      <c r="E14" s="30"/>
      <c r="F14" s="30"/>
      <c r="G14" s="30"/>
      <c r="H14" s="30"/>
      <c r="I14" s="30"/>
      <c r="J14" s="33"/>
      <c r="K14" s="30"/>
      <c r="L14" s="30"/>
      <c r="M14" s="30"/>
      <c r="N14" s="30"/>
      <c r="O14" s="30"/>
      <c r="P14" s="30"/>
      <c r="Q14" s="30"/>
      <c r="R14" s="30" t="n">
        <f aca="false">J14-N14-P14</f>
        <v>0</v>
      </c>
      <c r="S14" s="31"/>
      <c r="U14" s="31" t="n">
        <v>-19444</v>
      </c>
      <c r="V14" s="0" t="n">
        <v>-38887</v>
      </c>
      <c r="W14" s="0" t="s">
        <v>78</v>
      </c>
    </row>
    <row r="15" customFormat="false" ht="12.75" hidden="false" customHeight="false" outlineLevel="0" collapsed="false">
      <c r="A15" s="32" t="s">
        <v>79</v>
      </c>
      <c r="B15" s="30"/>
      <c r="C15" s="30"/>
      <c r="D15" s="30"/>
      <c r="E15" s="30"/>
      <c r="F15" s="30"/>
      <c r="G15" s="30"/>
      <c r="H15" s="30"/>
      <c r="I15" s="30"/>
      <c r="J15" s="33"/>
      <c r="K15" s="30"/>
      <c r="L15" s="30"/>
      <c r="M15" s="30"/>
      <c r="N15" s="30"/>
      <c r="O15" s="30"/>
      <c r="P15" s="30"/>
      <c r="Q15" s="30"/>
      <c r="R15" s="30" t="n">
        <f aca="false">J15-N15-P15</f>
        <v>0</v>
      </c>
      <c r="S15" s="31"/>
      <c r="U15" s="31" t="n">
        <f aca="false">F25</f>
        <v>-5595</v>
      </c>
      <c r="V15" s="0" t="n">
        <v>-11190</v>
      </c>
      <c r="W15" s="0" t="s">
        <v>78</v>
      </c>
    </row>
    <row r="16" customFormat="false" ht="12.75" hidden="false" customHeight="false" outlineLevel="0" collapsed="false">
      <c r="A16" s="32" t="s">
        <v>80</v>
      </c>
      <c r="B16" s="30"/>
      <c r="C16" s="30"/>
      <c r="D16" s="30"/>
      <c r="E16" s="30"/>
      <c r="F16" s="30"/>
      <c r="G16" s="30"/>
      <c r="H16" s="30"/>
      <c r="I16" s="30"/>
      <c r="J16" s="33"/>
      <c r="K16" s="30"/>
      <c r="L16" s="30"/>
      <c r="M16" s="30"/>
      <c r="N16" s="30"/>
      <c r="O16" s="30"/>
      <c r="P16" s="30"/>
      <c r="Q16" s="30"/>
      <c r="R16" s="30" t="n">
        <f aca="false">J16-N16-P16</f>
        <v>0</v>
      </c>
      <c r="S16" s="31"/>
      <c r="U16" s="31"/>
    </row>
    <row r="17" customFormat="false" ht="12.75" hidden="false" customHeight="false" outlineLevel="0" collapsed="false">
      <c r="A17" s="0" t="s">
        <v>81</v>
      </c>
      <c r="B17" s="30" t="n">
        <v>42762</v>
      </c>
      <c r="C17" s="30"/>
      <c r="D17" s="30" t="n">
        <f aca="false">-'Detail by Transaction Type'!B15*0.2</f>
        <v>-8445.2</v>
      </c>
      <c r="E17" s="30" t="n">
        <v>-1</v>
      </c>
      <c r="F17" s="35" t="n">
        <f aca="false">-(B17+D17)*0.285</f>
        <v>-9780.288</v>
      </c>
      <c r="G17" s="30" t="n">
        <v>-2</v>
      </c>
      <c r="H17" s="30" t="n">
        <f aca="false">D17+F17</f>
        <v>-18225.488</v>
      </c>
      <c r="I17" s="30"/>
      <c r="J17" s="33" t="n">
        <f aca="false">SUM(B17:F17)</f>
        <v>24535.512</v>
      </c>
      <c r="K17" s="30"/>
      <c r="L17" s="30" t="n">
        <f aca="false">22000</f>
        <v>22000</v>
      </c>
      <c r="M17" s="30"/>
      <c r="N17" s="30" t="n">
        <f aca="false">B17-L17</f>
        <v>20762</v>
      </c>
      <c r="O17" s="30"/>
      <c r="P17" s="30" t="n">
        <f aca="false">J17*0.15</f>
        <v>3680.3268</v>
      </c>
      <c r="Q17" s="30"/>
      <c r="R17" s="30" t="n">
        <f aca="false">J17-N17-P17</f>
        <v>93.1852000000022</v>
      </c>
      <c r="S17" s="31"/>
      <c r="U17" s="27" t="n">
        <v>-15282</v>
      </c>
      <c r="V17" s="27" t="n">
        <v>-33838</v>
      </c>
      <c r="W17" s="0" t="s">
        <v>82</v>
      </c>
    </row>
    <row r="18" customFormat="false" ht="12.75" hidden="false" customHeight="false" outlineLevel="0" collapsed="false">
      <c r="A18" s="0" t="s">
        <v>83</v>
      </c>
      <c r="B18" s="30" t="n">
        <v>33838</v>
      </c>
      <c r="C18" s="30"/>
      <c r="D18" s="30"/>
      <c r="E18" s="30"/>
      <c r="F18" s="30" t="n">
        <f aca="false">-(B18/31)*14</f>
        <v>-15281.6774193548</v>
      </c>
      <c r="G18" s="30" t="n">
        <v>-3</v>
      </c>
      <c r="H18" s="30" t="n">
        <f aca="false">D18+F18</f>
        <v>-15281.6774193548</v>
      </c>
      <c r="I18" s="30"/>
      <c r="J18" s="33" t="n">
        <f aca="false">SUM(B18:F18)</f>
        <v>18556.3225806452</v>
      </c>
      <c r="K18" s="30"/>
      <c r="L18" s="30" t="n">
        <v>33838</v>
      </c>
      <c r="M18" s="30"/>
      <c r="N18" s="30"/>
      <c r="O18" s="30"/>
      <c r="P18" s="30" t="n">
        <f aca="false">J18*0.15</f>
        <v>2783.44838709677</v>
      </c>
      <c r="Q18" s="30"/>
      <c r="R18" s="30" t="n">
        <f aca="false">J18-N18-P18</f>
        <v>15772.8741935484</v>
      </c>
      <c r="S18" s="31"/>
      <c r="U18" s="31" t="n">
        <f aca="false">SUM(U10:U17)</f>
        <v>-139336.288</v>
      </c>
      <c r="V18" s="0" t="n">
        <f aca="false">SUM(V10:V17)</f>
        <v>-164704.8</v>
      </c>
      <c r="W18" s="31" t="n">
        <f aca="false">U18-V18</f>
        <v>25368.512</v>
      </c>
    </row>
    <row r="19" customFormat="false" ht="12.75" hidden="false" customHeight="false" outlineLevel="0" collapsed="false">
      <c r="B19" s="30"/>
      <c r="C19" s="30"/>
      <c r="D19" s="30"/>
      <c r="E19" s="30"/>
      <c r="F19" s="30"/>
      <c r="G19" s="30"/>
      <c r="H19" s="30"/>
      <c r="I19" s="30"/>
      <c r="J19" s="33"/>
      <c r="K19" s="30"/>
      <c r="L19" s="30"/>
      <c r="M19" s="30"/>
      <c r="N19" s="30"/>
      <c r="O19" s="30"/>
      <c r="P19" s="30"/>
      <c r="Q19" s="30"/>
      <c r="R19" s="30" t="n">
        <f aca="false">J19-N19-P19</f>
        <v>0</v>
      </c>
      <c r="S19" s="31"/>
    </row>
    <row r="20" customFormat="false" ht="12.75" hidden="false" customHeight="false" outlineLevel="0" collapsed="false">
      <c r="A20" s="32" t="s">
        <v>84</v>
      </c>
      <c r="B20" s="30"/>
      <c r="C20" s="30"/>
      <c r="D20" s="30"/>
      <c r="E20" s="30"/>
      <c r="F20" s="30"/>
      <c r="G20" s="30"/>
      <c r="H20" s="30"/>
      <c r="I20" s="30"/>
      <c r="J20" s="33"/>
      <c r="K20" s="30"/>
      <c r="L20" s="30"/>
      <c r="M20" s="30"/>
      <c r="N20" s="30"/>
      <c r="O20" s="30"/>
      <c r="P20" s="30"/>
      <c r="Q20" s="30"/>
      <c r="R20" s="30" t="n">
        <f aca="false">J20-N20-P20</f>
        <v>0</v>
      </c>
      <c r="S20" s="31"/>
      <c r="T20" s="0" t="s">
        <v>85</v>
      </c>
    </row>
    <row r="21" customFormat="false" ht="12.75" hidden="false" customHeight="false" outlineLevel="0" collapsed="false">
      <c r="A21" s="0" t="s">
        <v>86</v>
      </c>
      <c r="B21" s="30" t="n">
        <v>25432</v>
      </c>
      <c r="C21" s="30"/>
      <c r="D21" s="30"/>
      <c r="E21" s="30"/>
      <c r="F21" s="30"/>
      <c r="G21" s="30"/>
      <c r="H21" s="30"/>
      <c r="I21" s="30"/>
      <c r="J21" s="33" t="n">
        <f aca="false">SUM(B21:F21)</f>
        <v>25432</v>
      </c>
      <c r="K21" s="30"/>
      <c r="L21" s="30"/>
      <c r="M21" s="30"/>
      <c r="N21" s="30" t="n">
        <f aca="false">B21-L21</f>
        <v>25432</v>
      </c>
      <c r="O21" s="30"/>
      <c r="P21" s="30" t="n">
        <f aca="false">J21*0.15</f>
        <v>3814.8</v>
      </c>
      <c r="Q21" s="30"/>
      <c r="R21" s="30" t="n">
        <f aca="false">J21-N21-P21</f>
        <v>-3814.8</v>
      </c>
      <c r="S21" s="31"/>
      <c r="T21" s="36" t="n">
        <v>36800</v>
      </c>
      <c r="U21" s="37" t="n">
        <v>-35285881.620877</v>
      </c>
      <c r="V21" s="38"/>
      <c r="W21" s="37" t="n">
        <v>-65075389.53</v>
      </c>
      <c r="X21" s="38"/>
      <c r="Y21" s="39" t="n">
        <v>0.542230816837602</v>
      </c>
    </row>
    <row r="22" customFormat="false" ht="12.75" hidden="false" customHeight="false" outlineLevel="0" collapsed="false">
      <c r="A22" s="0" t="s">
        <v>79</v>
      </c>
      <c r="B22" s="30" t="n">
        <f aca="false">3482+-86113</f>
        <v>-82631</v>
      </c>
      <c r="C22" s="30"/>
      <c r="D22" s="30"/>
      <c r="E22" s="30"/>
      <c r="F22" s="30" t="n">
        <f aca="false">-38887/2</f>
        <v>-19443.5</v>
      </c>
      <c r="G22" s="30" t="n">
        <v>-4</v>
      </c>
      <c r="H22" s="30" t="n">
        <f aca="false">D22+F22</f>
        <v>-19443.5</v>
      </c>
      <c r="I22" s="30"/>
      <c r="J22" s="33" t="n">
        <f aca="false">SUM(B22:F22)</f>
        <v>-102074.5</v>
      </c>
      <c r="K22" s="30"/>
      <c r="L22" s="30"/>
      <c r="M22" s="30"/>
      <c r="N22" s="30" t="n">
        <f aca="false">B22-L22</f>
        <v>-82631</v>
      </c>
      <c r="O22" s="30"/>
      <c r="P22" s="30" t="n">
        <f aca="false">J22*0.15</f>
        <v>-15311.175</v>
      </c>
      <c r="Q22" s="30"/>
      <c r="R22" s="30" t="n">
        <f aca="false">J22-N22-P22</f>
        <v>-4132.325</v>
      </c>
      <c r="T22" s="36" t="n">
        <v>36831</v>
      </c>
      <c r="U22" s="37" t="n">
        <v>-35289257.4225852</v>
      </c>
      <c r="V22" s="38"/>
      <c r="W22" s="37" t="n">
        <v>-87533996.1600001</v>
      </c>
      <c r="X22" s="38"/>
      <c r="Y22" s="39" t="n">
        <v>0.403149164560947</v>
      </c>
    </row>
    <row r="23" customFormat="false" ht="12.75" hidden="false" customHeight="false" outlineLevel="0" collapsed="false">
      <c r="A23" s="0" t="s">
        <v>87</v>
      </c>
      <c r="B23" s="30"/>
      <c r="C23" s="30"/>
      <c r="D23" s="30"/>
      <c r="E23" s="30"/>
      <c r="F23" s="30"/>
      <c r="G23" s="30"/>
      <c r="H23" s="30"/>
      <c r="I23" s="30"/>
      <c r="J23" s="33"/>
      <c r="K23" s="30"/>
      <c r="L23" s="30"/>
      <c r="M23" s="30"/>
      <c r="N23" s="30"/>
      <c r="O23" s="30"/>
      <c r="P23" s="30"/>
      <c r="Q23" s="30"/>
      <c r="R23" s="30" t="n">
        <f aca="false">J23-N23-P23</f>
        <v>0</v>
      </c>
      <c r="T23" s="36" t="n">
        <v>36861</v>
      </c>
      <c r="U23" s="37" t="n">
        <v>-7657083.82005369</v>
      </c>
      <c r="V23" s="38"/>
      <c r="W23" s="37" t="n">
        <v>-133279597.81</v>
      </c>
      <c r="X23" s="38"/>
      <c r="Y23" s="39" t="n">
        <v>0.0574512824608717</v>
      </c>
    </row>
    <row r="24" customFormat="false" ht="12.75" hidden="false" customHeight="false" outlineLevel="0" collapsed="false">
      <c r="A24" s="34" t="s">
        <v>88</v>
      </c>
      <c r="B24" s="30" t="n">
        <v>24138</v>
      </c>
      <c r="C24" s="30"/>
      <c r="D24" s="30"/>
      <c r="E24" s="30"/>
      <c r="F24" s="30"/>
      <c r="G24" s="30"/>
      <c r="H24" s="30"/>
      <c r="I24" s="30"/>
      <c r="J24" s="33" t="n">
        <f aca="false">SUM(B24:F24)</f>
        <v>24138</v>
      </c>
      <c r="K24" s="30"/>
      <c r="L24" s="30"/>
      <c r="M24" s="30"/>
      <c r="N24" s="30" t="n">
        <f aca="false">B24-L24</f>
        <v>24138</v>
      </c>
      <c r="O24" s="30"/>
      <c r="P24" s="30" t="n">
        <f aca="false">J24*0.15</f>
        <v>3620.7</v>
      </c>
      <c r="Q24" s="30"/>
      <c r="R24" s="30" t="n">
        <f aca="false">J24-N24-P24</f>
        <v>-3620.7</v>
      </c>
      <c r="T24" s="36" t="n">
        <v>36892</v>
      </c>
      <c r="U24" s="40" t="n">
        <v>-10555471.4949771</v>
      </c>
      <c r="V24" s="41"/>
      <c r="W24" s="40" t="n">
        <v>-105161522.75</v>
      </c>
      <c r="X24" s="38"/>
      <c r="Y24" s="39" t="n">
        <v>0.100373893596715</v>
      </c>
    </row>
    <row r="25" customFormat="false" ht="12.75" hidden="false" customHeight="false" outlineLevel="0" collapsed="false">
      <c r="A25" s="34" t="s">
        <v>89</v>
      </c>
      <c r="B25" s="30" t="n">
        <v>74190</v>
      </c>
      <c r="C25" s="30"/>
      <c r="D25" s="30"/>
      <c r="E25" s="30"/>
      <c r="F25" s="30" t="n">
        <v>-5595</v>
      </c>
      <c r="G25" s="30" t="n">
        <v>-5</v>
      </c>
      <c r="H25" s="30" t="n">
        <f aca="false">D25+F25</f>
        <v>-5595</v>
      </c>
      <c r="I25" s="30"/>
      <c r="J25" s="33" t="n">
        <f aca="false">SUM(B25:F25)</f>
        <v>68595</v>
      </c>
      <c r="K25" s="30"/>
      <c r="L25" s="30" t="n">
        <v>24000</v>
      </c>
      <c r="M25" s="30"/>
      <c r="N25" s="30" t="n">
        <f aca="false">B25-L25</f>
        <v>50190</v>
      </c>
      <c r="O25" s="30"/>
      <c r="P25" s="30" t="n">
        <f aca="false">J25*0.15</f>
        <v>10289.25</v>
      </c>
      <c r="Q25" s="30"/>
      <c r="R25" s="30" t="n">
        <f aca="false">J25-N25-P25</f>
        <v>8115.75</v>
      </c>
      <c r="T25" s="36"/>
      <c r="U25" s="37" t="n">
        <f aca="false">SUM(U21:U24)</f>
        <v>-88787694.358493</v>
      </c>
      <c r="V25" s="38"/>
      <c r="W25" s="37" t="n">
        <f aca="false">SUM(W21:W24)</f>
        <v>-391050506.25</v>
      </c>
      <c r="X25" s="38"/>
      <c r="Y25" s="39" t="n">
        <f aca="false">U25/W25</f>
        <v>0.227049173800917</v>
      </c>
    </row>
    <row r="26" customFormat="false" ht="12.75" hidden="false" customHeight="false" outlineLevel="0" collapsed="false">
      <c r="B26" s="30"/>
      <c r="C26" s="30"/>
      <c r="D26" s="30"/>
      <c r="E26" s="30"/>
      <c r="F26" s="30"/>
      <c r="G26" s="30"/>
      <c r="H26" s="30"/>
      <c r="I26" s="30"/>
      <c r="J26" s="33"/>
      <c r="K26" s="30"/>
      <c r="L26" s="30"/>
      <c r="M26" s="30"/>
      <c r="N26" s="30"/>
      <c r="O26" s="30"/>
      <c r="P26" s="30"/>
      <c r="Q26" s="30"/>
      <c r="R26" s="30"/>
    </row>
    <row r="27" customFormat="false" ht="13.5" hidden="false" customHeight="false" outlineLevel="0" collapsed="false">
      <c r="B27" s="42" t="n">
        <f aca="false">SUM(B12:B26)</f>
        <v>521678</v>
      </c>
      <c r="C27" s="42"/>
      <c r="D27" s="42" t="n">
        <f aca="false">SUM(D12:D26)</f>
        <v>-89235</v>
      </c>
      <c r="E27" s="42"/>
      <c r="F27" s="42" t="n">
        <f aca="false">SUM(F12:F26)</f>
        <v>-50100.4654193548</v>
      </c>
      <c r="G27" s="42"/>
      <c r="H27" s="42" t="n">
        <f aca="false">SUM(H12:H26)</f>
        <v>-139335.465419355</v>
      </c>
      <c r="I27" s="42"/>
      <c r="J27" s="43" t="n">
        <f aca="false">SUM(J12:J26)</f>
        <v>382340.534580645</v>
      </c>
      <c r="K27" s="42"/>
      <c r="L27" s="42" t="n">
        <f aca="false">SUM(L12:L26)</f>
        <v>322207</v>
      </c>
      <c r="M27" s="42"/>
      <c r="N27" s="42" t="n">
        <f aca="false">SUM(N12:N26)</f>
        <v>199471</v>
      </c>
      <c r="O27" s="42"/>
      <c r="P27" s="42" t="n">
        <f aca="false">SUM(P12:P26)</f>
        <v>57351.0801870968</v>
      </c>
      <c r="Q27" s="42"/>
      <c r="R27" s="42" t="n">
        <f aca="false">SUM(R12:R26)</f>
        <v>125518.454393548</v>
      </c>
    </row>
    <row r="28" customFormat="false" ht="13.5" hidden="false" customHeight="false" outlineLevel="0" collapsed="false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 customFormat="false" ht="12.75" hidden="false" customHeight="false" outlineLevel="0" collapsed="false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5" t="n">
        <f aca="false">J27-N27-F17-P27</f>
        <v>135298.742393548</v>
      </c>
      <c r="T29" s="0" t="s">
        <v>90</v>
      </c>
    </row>
    <row r="30" customFormat="false" ht="18" hidden="false" customHeight="false" outlineLevel="0" collapsed="false">
      <c r="A30" s="4" t="s">
        <v>91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V30" s="0" t="n">
        <v>42762</v>
      </c>
      <c r="W30" s="0" t="n">
        <v>7000</v>
      </c>
      <c r="X30" s="0" t="n">
        <f aca="false">W30/W34</f>
        <v>0.166666666666667</v>
      </c>
      <c r="Y30" s="0" t="n">
        <f aca="false">W30/12000</f>
        <v>0.583333333333333</v>
      </c>
    </row>
    <row r="31" customFormat="false" ht="18" hidden="false" customHeight="false" outlineLevel="0" collapsed="false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</row>
    <row r="32" customFormat="false" ht="12.75" hidden="false" customHeight="false" outlineLevel="0" collapsed="false">
      <c r="A32" s="32" t="s">
        <v>92</v>
      </c>
      <c r="G32" s="32" t="s">
        <v>93</v>
      </c>
      <c r="W32" s="0" t="n">
        <v>30000</v>
      </c>
      <c r="X32" s="0" t="n">
        <f aca="false">W32/W34</f>
        <v>0.714285714285714</v>
      </c>
    </row>
    <row r="33" customFormat="false" ht="12.75" hidden="false" customHeight="false" outlineLevel="0" collapsed="false">
      <c r="A33" s="0" t="s">
        <v>94</v>
      </c>
      <c r="G33" s="0" t="s">
        <v>95</v>
      </c>
      <c r="W33" s="27" t="n">
        <v>5000</v>
      </c>
      <c r="X33" s="0" t="n">
        <f aca="false">W33/W34</f>
        <v>0.119047619047619</v>
      </c>
      <c r="Y33" s="0" t="n">
        <f aca="false">W33/12000</f>
        <v>0.416666666666667</v>
      </c>
    </row>
    <row r="34" customFormat="false" ht="12.75" hidden="false" customHeight="false" outlineLevel="0" collapsed="false">
      <c r="A34" s="0" t="s">
        <v>96</v>
      </c>
      <c r="G34" s="0" t="s">
        <v>97</v>
      </c>
      <c r="W34" s="0" t="n">
        <f aca="false">SUM(W30:W33)</f>
        <v>42000</v>
      </c>
    </row>
    <row r="35" customFormat="false" ht="12.75" hidden="false" customHeight="false" outlineLevel="0" collapsed="false">
      <c r="A35" s="0" t="s">
        <v>98</v>
      </c>
      <c r="G35" s="0" t="s">
        <v>99</v>
      </c>
      <c r="X35" s="0" t="n">
        <f aca="false">X30+X33</f>
        <v>0.285714285714286</v>
      </c>
    </row>
    <row r="36" customFormat="false" ht="12.75" hidden="false" customHeight="false" outlineLevel="0" collapsed="false">
      <c r="A36" s="0" t="s">
        <v>100</v>
      </c>
      <c r="H36" s="0" t="s">
        <v>101</v>
      </c>
    </row>
    <row r="37" customFormat="false" ht="12.75" hidden="false" customHeight="false" outlineLevel="0" collapsed="false">
      <c r="G37" s="0" t="s">
        <v>102</v>
      </c>
    </row>
    <row r="38" customFormat="false" ht="12.75" hidden="false" customHeight="false" outlineLevel="0" collapsed="false">
      <c r="A38" s="0" t="s">
        <v>103</v>
      </c>
      <c r="H38" s="0" t="s">
        <v>101</v>
      </c>
    </row>
    <row r="39" customFormat="false" ht="12.75" hidden="false" customHeight="false" outlineLevel="0" collapsed="false">
      <c r="A39" s="0" t="s">
        <v>104</v>
      </c>
    </row>
    <row r="40" customFormat="false" ht="12.75" hidden="false" customHeight="false" outlineLevel="0" collapsed="false">
      <c r="A40" s="0" t="s">
        <v>105</v>
      </c>
      <c r="G40" s="32" t="s">
        <v>106</v>
      </c>
    </row>
    <row r="41" customFormat="false" ht="12.75" hidden="false" customHeight="false" outlineLevel="0" collapsed="false">
      <c r="A41" s="0" t="s">
        <v>41</v>
      </c>
      <c r="G41" s="0" t="s">
        <v>107</v>
      </c>
      <c r="L41" s="30" t="n">
        <v>100250</v>
      </c>
      <c r="N41" s="0" t="s">
        <v>108</v>
      </c>
    </row>
    <row r="42" customFormat="false" ht="12.75" hidden="false" customHeight="false" outlineLevel="0" collapsed="false">
      <c r="G42" s="0" t="s">
        <v>109</v>
      </c>
      <c r="L42" s="30" t="n">
        <f aca="false">15000+36500+92290</f>
        <v>143790</v>
      </c>
      <c r="N42" s="0" t="s">
        <v>110</v>
      </c>
    </row>
    <row r="43" customFormat="false" ht="12.75" hidden="false" customHeight="false" outlineLevel="0" collapsed="false">
      <c r="L43" s="30"/>
    </row>
    <row r="44" customFormat="false" ht="12.75" hidden="false" customHeight="false" outlineLevel="0" collapsed="false">
      <c r="A44" s="34" t="s">
        <v>111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46"/>
    </row>
    <row r="46" customFormat="false" ht="12.75" hidden="false" customHeight="false" outlineLevel="0" collapsed="false">
      <c r="A46" s="47"/>
      <c r="B46" s="47"/>
      <c r="C46" s="47"/>
      <c r="D46" s="47"/>
      <c r="E46" s="47"/>
    </row>
    <row r="47" customFormat="false" ht="12.75" hidden="false" customHeight="false" outlineLevel="0" collapsed="false">
      <c r="A47" s="48" t="s">
        <v>112</v>
      </c>
      <c r="B47" s="49"/>
      <c r="C47" s="49"/>
      <c r="D47" s="47"/>
      <c r="E47" s="47"/>
    </row>
    <row r="48" customFormat="false" ht="12.75" hidden="false" customHeight="false" outlineLevel="0" collapsed="false">
      <c r="A48" s="50" t="s">
        <v>113</v>
      </c>
      <c r="B48" s="51" t="n">
        <f aca="false">F17*Y33</f>
        <v>-4075.12</v>
      </c>
      <c r="C48" s="49"/>
      <c r="D48" s="47"/>
    </row>
    <row r="49" customFormat="false" ht="12.75" hidden="false" customHeight="false" outlineLevel="0" collapsed="false">
      <c r="A49" s="50" t="s">
        <v>114</v>
      </c>
      <c r="B49" s="52" t="n">
        <f aca="false">F17*Y30</f>
        <v>-5705.168</v>
      </c>
      <c r="C49" s="49"/>
      <c r="F49" s="30"/>
    </row>
    <row r="50" customFormat="false" ht="12.75" hidden="false" customHeight="false" outlineLevel="0" collapsed="false">
      <c r="B50" s="30"/>
    </row>
    <row r="51" customFormat="false" ht="12.75" hidden="false" customHeight="false" outlineLevel="0" collapsed="false">
      <c r="A51" s="5" t="n">
        <v>2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</sheetData>
  <mergeCells count="5">
    <mergeCell ref="A2:R2"/>
    <mergeCell ref="A3:R3"/>
    <mergeCell ref="A4:R4"/>
    <mergeCell ref="A30:R30"/>
    <mergeCell ref="A51:R5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4" activeCellId="0" sqref="A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3" min="3" style="0" width="2.7"/>
    <col collapsed="false" customWidth="true" hidden="false" outlineLevel="0" max="5" min="5" style="0" width="3.14"/>
    <col collapsed="false" customWidth="true" hidden="false" outlineLevel="0" max="6" min="6" style="0" width="12.56"/>
    <col collapsed="false" customWidth="true" hidden="false" outlineLevel="0" max="7" min="7" style="0" width="3.14"/>
    <col collapsed="false" customWidth="true" hidden="false" outlineLevel="0" max="8" min="8" style="0" width="11.99"/>
    <col collapsed="false" customWidth="true" hidden="false" outlineLevel="0" max="9" min="9" style="0" width="2.7"/>
    <col collapsed="false" customWidth="true" hidden="false" outlineLevel="0" max="11" min="11" style="0" width="2.7"/>
    <col collapsed="false" customWidth="true" hidden="false" outlineLevel="0" max="12" min="12" style="0" width="9.7"/>
    <col collapsed="false" customWidth="true" hidden="false" outlineLevel="0" max="13" min="13" style="0" width="2.7"/>
    <col collapsed="false" customWidth="true" hidden="false" outlineLevel="0" max="14" min="14" style="0" width="13.28"/>
    <col collapsed="false" customWidth="true" hidden="false" outlineLevel="0" max="15" min="15" style="0" width="2.7"/>
    <col collapsed="false" customWidth="true" hidden="false" outlineLevel="0" max="16" min="16" style="0" width="10.85"/>
    <col collapsed="false" customWidth="true" hidden="false" outlineLevel="0" max="17" min="17" style="0" width="2.7"/>
    <col collapsed="false" customWidth="true" hidden="false" outlineLevel="0" max="18" min="18" style="0" width="11.28"/>
    <col collapsed="false" customWidth="true" hidden="false" outlineLevel="0" max="21" min="21" style="0" width="13.28"/>
    <col collapsed="false" customWidth="true" hidden="false" outlineLevel="0" max="23" min="23" style="0" width="14.28"/>
    <col collapsed="false" customWidth="true" hidden="false" outlineLevel="0" max="25" min="25" style="0" width="12.28"/>
  </cols>
  <sheetData>
    <row r="1" customFormat="false" ht="12.75" hidden="false" customHeight="false" outlineLevel="0" collapsed="false">
      <c r="A1" s="23" t="s">
        <v>35</v>
      </c>
    </row>
    <row r="2" customFormat="false" ht="12.75" hidden="false" customHeight="false" outlineLevel="0" collapsed="false">
      <c r="A2" s="5" t="s">
        <v>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customFormat="false" ht="12.75" hidden="false" customHeight="false" outlineLevel="0" collapsed="false">
      <c r="A3" s="5" t="s">
        <v>37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customFormat="false" ht="12.75" hidden="false" customHeight="false" outlineLevel="0" collapsed="false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customFormat="false" ht="12.75" hidden="false" customHeight="false" outlineLevel="0" collapsed="false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customFormat="false" ht="12.75" hidden="false" customHeight="false" outlineLevel="0" collapsed="false">
      <c r="A6" s="25" t="s">
        <v>115</v>
      </c>
      <c r="B6" s="24" t="s">
        <v>39</v>
      </c>
      <c r="C6" s="24"/>
      <c r="D6" s="24" t="s">
        <v>40</v>
      </c>
      <c r="E6" s="24" t="s">
        <v>41</v>
      </c>
      <c r="F6" s="24" t="s">
        <v>42</v>
      </c>
      <c r="G6" s="24" t="s">
        <v>41</v>
      </c>
      <c r="H6" s="24" t="s">
        <v>43</v>
      </c>
      <c r="I6" s="24"/>
      <c r="J6" s="24" t="s">
        <v>44</v>
      </c>
      <c r="K6" s="24" t="s">
        <v>41</v>
      </c>
      <c r="L6" s="24" t="s">
        <v>45</v>
      </c>
      <c r="M6" s="24" t="s">
        <v>41</v>
      </c>
      <c r="N6" s="24" t="s">
        <v>46</v>
      </c>
      <c r="O6" s="24"/>
      <c r="P6" s="24" t="s">
        <v>47</v>
      </c>
      <c r="Q6" s="24"/>
      <c r="R6" s="24" t="s">
        <v>48</v>
      </c>
      <c r="S6" s="24"/>
    </row>
    <row r="7" customFormat="false" ht="12.75" hidden="false" customHeight="false" outlineLevel="0" collapsed="false">
      <c r="A7" s="24"/>
      <c r="B7" s="24"/>
      <c r="C7" s="24"/>
      <c r="D7" s="24"/>
      <c r="E7" s="24"/>
      <c r="F7" s="24"/>
      <c r="G7" s="24"/>
      <c r="H7" s="24" t="s">
        <v>49</v>
      </c>
      <c r="I7" s="24"/>
      <c r="J7" s="24" t="s">
        <v>50</v>
      </c>
      <c r="K7" s="24"/>
      <c r="L7" s="24"/>
      <c r="M7" s="24"/>
      <c r="N7" s="24" t="s">
        <v>51</v>
      </c>
      <c r="O7" s="24"/>
      <c r="P7" s="24" t="s">
        <v>52</v>
      </c>
      <c r="Q7" s="24"/>
      <c r="R7" s="24" t="s">
        <v>53</v>
      </c>
      <c r="S7" s="24"/>
    </row>
    <row r="8" customFormat="false" ht="12.75" hidden="false" customHeight="false" outlineLevel="0" collapsed="false">
      <c r="A8" s="24" t="s">
        <v>54</v>
      </c>
      <c r="B8" s="26" t="n">
        <v>1</v>
      </c>
      <c r="C8" s="26"/>
      <c r="D8" s="24" t="s">
        <v>55</v>
      </c>
      <c r="E8" s="24"/>
      <c r="F8" s="24" t="s">
        <v>56</v>
      </c>
      <c r="G8" s="24"/>
      <c r="H8" s="24" t="s">
        <v>57</v>
      </c>
      <c r="I8" s="24"/>
      <c r="J8" s="24" t="s">
        <v>58</v>
      </c>
      <c r="K8" s="24"/>
      <c r="L8" s="24" t="s">
        <v>59</v>
      </c>
      <c r="M8" s="24"/>
      <c r="N8" s="24" t="s">
        <v>60</v>
      </c>
      <c r="O8" s="24"/>
      <c r="P8" s="24" t="s">
        <v>61</v>
      </c>
      <c r="Q8" s="24"/>
      <c r="R8" s="24" t="s">
        <v>62</v>
      </c>
      <c r="S8" s="24"/>
    </row>
    <row r="9" customFormat="false" ht="12.75" hidden="false" customHeight="false" outlineLevel="0" collapsed="false">
      <c r="A9" s="27"/>
      <c r="B9" s="28" t="s">
        <v>63</v>
      </c>
      <c r="C9" s="28"/>
      <c r="D9" s="28" t="s">
        <v>8</v>
      </c>
      <c r="E9" s="28"/>
      <c r="F9" s="28" t="s">
        <v>64</v>
      </c>
      <c r="G9" s="28"/>
      <c r="H9" s="28" t="s">
        <v>65</v>
      </c>
      <c r="I9" s="28"/>
      <c r="J9" s="28" t="s">
        <v>63</v>
      </c>
      <c r="K9" s="28"/>
      <c r="L9" s="28" t="s">
        <v>66</v>
      </c>
      <c r="M9" s="28"/>
      <c r="N9" s="28" t="s">
        <v>67</v>
      </c>
      <c r="O9" s="28"/>
      <c r="P9" s="28" t="s">
        <v>68</v>
      </c>
      <c r="Q9" s="28"/>
      <c r="R9" s="28" t="s">
        <v>69</v>
      </c>
      <c r="S9" s="24"/>
      <c r="T9" s="0" t="s">
        <v>70</v>
      </c>
    </row>
    <row r="10" customFormat="false" ht="12.75" hidden="false" customHeight="false" outlineLevel="0" collapsed="false">
      <c r="A10" s="25" t="s">
        <v>71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30"/>
      <c r="U10" s="31" t="n">
        <f aca="false">D12</f>
        <v>-100987.25</v>
      </c>
      <c r="V10" s="0" t="n">
        <f aca="false">-403949*0.2</f>
        <v>-80789.8</v>
      </c>
      <c r="W10" s="0" t="s">
        <v>72</v>
      </c>
    </row>
    <row r="11" customFormat="false" ht="12.75" hidden="false" customHeight="false" outlineLevel="0" collapsed="false">
      <c r="A11" s="32" t="s">
        <v>73</v>
      </c>
      <c r="B11" s="30"/>
      <c r="C11" s="30"/>
      <c r="D11" s="30"/>
      <c r="E11" s="30"/>
      <c r="F11" s="30"/>
      <c r="G11" s="30"/>
      <c r="H11" s="30"/>
      <c r="I11" s="30"/>
      <c r="J11" s="33"/>
      <c r="K11" s="30"/>
      <c r="L11" s="30"/>
      <c r="M11" s="30"/>
      <c r="N11" s="30"/>
      <c r="O11" s="30"/>
      <c r="P11" s="30"/>
      <c r="Q11" s="30"/>
      <c r="R11" s="30"/>
      <c r="S11" s="31"/>
      <c r="U11" s="31" t="n">
        <f aca="false">D17</f>
        <v>-10556.5</v>
      </c>
      <c r="V11" s="0" t="n">
        <v>0</v>
      </c>
      <c r="W11" s="0" t="s">
        <v>74</v>
      </c>
    </row>
    <row r="12" customFormat="false" ht="12.75" hidden="false" customHeight="false" outlineLevel="0" collapsed="false">
      <c r="A12" s="0" t="s">
        <v>75</v>
      </c>
      <c r="B12" s="30" t="n">
        <v>403949</v>
      </c>
      <c r="C12" s="30"/>
      <c r="D12" s="30" t="n">
        <f aca="false">-B12*0.25</f>
        <v>-100987.25</v>
      </c>
      <c r="E12" s="30" t="n">
        <v>-1</v>
      </c>
      <c r="F12" s="30"/>
      <c r="G12" s="30"/>
      <c r="H12" s="30" t="n">
        <f aca="false">D12+F12</f>
        <v>-100987.25</v>
      </c>
      <c r="I12" s="30"/>
      <c r="J12" s="33" t="n">
        <f aca="false">SUM(B12:F12)</f>
        <v>302960.75</v>
      </c>
      <c r="K12" s="30"/>
      <c r="L12" s="30" t="n">
        <v>242369</v>
      </c>
      <c r="M12" s="30"/>
      <c r="N12" s="30" t="n">
        <f aca="false">B12-L12</f>
        <v>161580</v>
      </c>
      <c r="O12" s="30"/>
      <c r="P12" s="30" t="n">
        <f aca="false">J12*0.15</f>
        <v>45444.1125</v>
      </c>
      <c r="Q12" s="30"/>
      <c r="R12" s="30" t="n">
        <f aca="false">J12-N12-P12</f>
        <v>95936.6375</v>
      </c>
      <c r="S12" s="31"/>
      <c r="U12" s="31"/>
    </row>
    <row r="13" customFormat="false" ht="12.75" hidden="false" customHeight="false" outlineLevel="0" collapsed="false">
      <c r="A13" s="34" t="s">
        <v>76</v>
      </c>
      <c r="B13" s="30"/>
      <c r="C13" s="30"/>
      <c r="D13" s="30"/>
      <c r="E13" s="30"/>
      <c r="F13" s="30"/>
      <c r="G13" s="30"/>
      <c r="H13" s="30"/>
      <c r="I13" s="30"/>
      <c r="J13" s="33"/>
      <c r="K13" s="30"/>
      <c r="L13" s="30"/>
      <c r="M13" s="30"/>
      <c r="N13" s="30"/>
      <c r="O13" s="30"/>
      <c r="P13" s="30"/>
      <c r="Q13" s="30"/>
      <c r="R13" s="30" t="n">
        <f aca="false">J13-N13-P13</f>
        <v>0</v>
      </c>
      <c r="S13" s="31"/>
      <c r="U13" s="31" t="n">
        <f aca="false">F17</f>
        <v>-9178.5675</v>
      </c>
      <c r="V13" s="0" t="n">
        <v>0</v>
      </c>
      <c r="W13" s="0" t="s">
        <v>77</v>
      </c>
    </row>
    <row r="14" customFormat="false" ht="12.75" hidden="false" customHeight="false" outlineLevel="0" collapsed="false">
      <c r="B14" s="30"/>
      <c r="C14" s="30"/>
      <c r="D14" s="30"/>
      <c r="E14" s="30"/>
      <c r="F14" s="30"/>
      <c r="G14" s="30"/>
      <c r="H14" s="30"/>
      <c r="I14" s="30"/>
      <c r="J14" s="33"/>
      <c r="K14" s="30"/>
      <c r="L14" s="30"/>
      <c r="M14" s="30"/>
      <c r="N14" s="30"/>
      <c r="O14" s="30"/>
      <c r="P14" s="30"/>
      <c r="Q14" s="30"/>
      <c r="R14" s="30" t="n">
        <f aca="false">J14-N14-P14</f>
        <v>0</v>
      </c>
      <c r="S14" s="31"/>
      <c r="U14" s="31" t="n">
        <v>-19444</v>
      </c>
      <c r="V14" s="0" t="n">
        <v>-38887</v>
      </c>
      <c r="W14" s="0" t="s">
        <v>78</v>
      </c>
    </row>
    <row r="15" customFormat="false" ht="12.75" hidden="false" customHeight="false" outlineLevel="0" collapsed="false">
      <c r="A15" s="32" t="s">
        <v>79</v>
      </c>
      <c r="B15" s="30"/>
      <c r="C15" s="30"/>
      <c r="D15" s="30"/>
      <c r="E15" s="30"/>
      <c r="F15" s="30"/>
      <c r="G15" s="30"/>
      <c r="H15" s="30"/>
      <c r="I15" s="30"/>
      <c r="J15" s="33"/>
      <c r="K15" s="30"/>
      <c r="L15" s="30"/>
      <c r="M15" s="30"/>
      <c r="N15" s="30"/>
      <c r="O15" s="30"/>
      <c r="P15" s="30"/>
      <c r="Q15" s="30"/>
      <c r="R15" s="30" t="n">
        <f aca="false">J15-N15-P15</f>
        <v>0</v>
      </c>
      <c r="S15" s="31"/>
      <c r="U15" s="31" t="n">
        <f aca="false">F25</f>
        <v>-5595</v>
      </c>
      <c r="V15" s="0" t="n">
        <v>-11190</v>
      </c>
      <c r="W15" s="0" t="s">
        <v>78</v>
      </c>
    </row>
    <row r="16" customFormat="false" ht="12.75" hidden="false" customHeight="false" outlineLevel="0" collapsed="false">
      <c r="A16" s="32" t="s">
        <v>80</v>
      </c>
      <c r="B16" s="30"/>
      <c r="C16" s="30"/>
      <c r="D16" s="30"/>
      <c r="E16" s="30"/>
      <c r="F16" s="30"/>
      <c r="G16" s="30"/>
      <c r="H16" s="30"/>
      <c r="I16" s="30"/>
      <c r="J16" s="33"/>
      <c r="K16" s="30"/>
      <c r="L16" s="30"/>
      <c r="M16" s="30"/>
      <c r="N16" s="30"/>
      <c r="O16" s="30"/>
      <c r="P16" s="30"/>
      <c r="Q16" s="30"/>
      <c r="R16" s="30" t="n">
        <f aca="false">J16-N16-P16</f>
        <v>0</v>
      </c>
      <c r="S16" s="31"/>
      <c r="U16" s="31"/>
    </row>
    <row r="17" customFormat="false" ht="12.75" hidden="false" customHeight="false" outlineLevel="0" collapsed="false">
      <c r="A17" s="0" t="s">
        <v>81</v>
      </c>
      <c r="B17" s="30" t="n">
        <v>42762</v>
      </c>
      <c r="C17" s="30"/>
      <c r="D17" s="30" t="n">
        <f aca="false">-'Detail by Transaction Type'!B15*0.25</f>
        <v>-10556.5</v>
      </c>
      <c r="E17" s="30" t="n">
        <v>-1</v>
      </c>
      <c r="F17" s="35" t="n">
        <f aca="false">-(B17+D17)*0.285</f>
        <v>-9178.5675</v>
      </c>
      <c r="G17" s="30" t="n">
        <v>-2</v>
      </c>
      <c r="H17" s="30" t="n">
        <f aca="false">D17+F17</f>
        <v>-19735.0675</v>
      </c>
      <c r="I17" s="30"/>
      <c r="J17" s="33" t="n">
        <f aca="false">SUM(B17:F17)</f>
        <v>23025.9325</v>
      </c>
      <c r="K17" s="30"/>
      <c r="L17" s="30" t="n">
        <f aca="false">22000</f>
        <v>22000</v>
      </c>
      <c r="M17" s="30"/>
      <c r="N17" s="30" t="n">
        <f aca="false">B17-L17</f>
        <v>20762</v>
      </c>
      <c r="O17" s="30"/>
      <c r="P17" s="30" t="n">
        <f aca="false">J17*0.15</f>
        <v>3453.889875</v>
      </c>
      <c r="Q17" s="30"/>
      <c r="R17" s="30" t="n">
        <f aca="false">J17-N17-P17</f>
        <v>-1189.957375</v>
      </c>
      <c r="S17" s="31"/>
      <c r="U17" s="27" t="n">
        <v>-15282</v>
      </c>
      <c r="V17" s="27" t="n">
        <v>-33838</v>
      </c>
      <c r="W17" s="0" t="s">
        <v>82</v>
      </c>
    </row>
    <row r="18" customFormat="false" ht="12.75" hidden="false" customHeight="false" outlineLevel="0" collapsed="false">
      <c r="A18" s="0" t="s">
        <v>83</v>
      </c>
      <c r="B18" s="30" t="n">
        <v>33838</v>
      </c>
      <c r="C18" s="30"/>
      <c r="D18" s="30"/>
      <c r="E18" s="30"/>
      <c r="F18" s="30" t="n">
        <f aca="false">-(B18/31)*14</f>
        <v>-15281.6774193548</v>
      </c>
      <c r="G18" s="30" t="n">
        <v>-3</v>
      </c>
      <c r="H18" s="30" t="n">
        <f aca="false">D18+F18</f>
        <v>-15281.6774193548</v>
      </c>
      <c r="I18" s="30"/>
      <c r="J18" s="33" t="n">
        <f aca="false">SUM(B18:F18)</f>
        <v>18556.3225806452</v>
      </c>
      <c r="K18" s="30"/>
      <c r="L18" s="30" t="n">
        <v>33838</v>
      </c>
      <c r="M18" s="30"/>
      <c r="N18" s="30"/>
      <c r="O18" s="30"/>
      <c r="P18" s="30" t="n">
        <f aca="false">J18*0.15</f>
        <v>2783.44838709677</v>
      </c>
      <c r="Q18" s="30"/>
      <c r="R18" s="30" t="n">
        <f aca="false">J18-N18-P18</f>
        <v>15772.8741935484</v>
      </c>
      <c r="S18" s="31"/>
      <c r="U18" s="31" t="n">
        <f aca="false">SUM(U10:U17)</f>
        <v>-161043.3175</v>
      </c>
      <c r="V18" s="0" t="n">
        <f aca="false">SUM(V10:V17)</f>
        <v>-164704.8</v>
      </c>
      <c r="W18" s="31" t="n">
        <f aca="false">U18-V18</f>
        <v>3661.48249999998</v>
      </c>
    </row>
    <row r="19" customFormat="false" ht="12.75" hidden="false" customHeight="false" outlineLevel="0" collapsed="false">
      <c r="B19" s="30"/>
      <c r="C19" s="30"/>
      <c r="D19" s="30"/>
      <c r="E19" s="30"/>
      <c r="F19" s="30"/>
      <c r="G19" s="30"/>
      <c r="H19" s="30"/>
      <c r="I19" s="30"/>
      <c r="J19" s="33"/>
      <c r="K19" s="30"/>
      <c r="L19" s="30"/>
      <c r="M19" s="30"/>
      <c r="N19" s="30"/>
      <c r="O19" s="30"/>
      <c r="P19" s="30"/>
      <c r="Q19" s="30"/>
      <c r="R19" s="30" t="n">
        <f aca="false">J19-N19-P19</f>
        <v>0</v>
      </c>
      <c r="S19" s="31"/>
    </row>
    <row r="20" customFormat="false" ht="12.75" hidden="false" customHeight="false" outlineLevel="0" collapsed="false">
      <c r="A20" s="32" t="s">
        <v>84</v>
      </c>
      <c r="B20" s="30"/>
      <c r="C20" s="30"/>
      <c r="D20" s="30"/>
      <c r="E20" s="30"/>
      <c r="F20" s="30"/>
      <c r="G20" s="30"/>
      <c r="H20" s="30"/>
      <c r="I20" s="30"/>
      <c r="J20" s="33"/>
      <c r="K20" s="30"/>
      <c r="L20" s="30"/>
      <c r="M20" s="30"/>
      <c r="N20" s="30"/>
      <c r="O20" s="30"/>
      <c r="P20" s="30"/>
      <c r="Q20" s="30"/>
      <c r="R20" s="30" t="n">
        <f aca="false">J20-N20-P20</f>
        <v>0</v>
      </c>
      <c r="S20" s="31"/>
      <c r="T20" s="0" t="s">
        <v>85</v>
      </c>
    </row>
    <row r="21" customFormat="false" ht="12.75" hidden="false" customHeight="false" outlineLevel="0" collapsed="false">
      <c r="A21" s="0" t="s">
        <v>86</v>
      </c>
      <c r="B21" s="30" t="n">
        <v>25432</v>
      </c>
      <c r="C21" s="30"/>
      <c r="D21" s="30"/>
      <c r="E21" s="30"/>
      <c r="F21" s="30"/>
      <c r="G21" s="30"/>
      <c r="H21" s="30"/>
      <c r="I21" s="30"/>
      <c r="J21" s="33" t="n">
        <f aca="false">SUM(B21:F21)</f>
        <v>25432</v>
      </c>
      <c r="K21" s="30"/>
      <c r="L21" s="30"/>
      <c r="M21" s="30"/>
      <c r="N21" s="30" t="n">
        <f aca="false">B21-L21</f>
        <v>25432</v>
      </c>
      <c r="O21" s="30"/>
      <c r="P21" s="30" t="n">
        <f aca="false">J21*0.15</f>
        <v>3814.8</v>
      </c>
      <c r="Q21" s="30"/>
      <c r="R21" s="30" t="n">
        <f aca="false">J21-N21-P21</f>
        <v>-3814.8</v>
      </c>
      <c r="S21" s="31"/>
      <c r="T21" s="36" t="n">
        <v>36800</v>
      </c>
      <c r="U21" s="37" t="n">
        <v>-35285881.620877</v>
      </c>
      <c r="V21" s="38"/>
      <c r="W21" s="37" t="n">
        <v>-65075389.53</v>
      </c>
      <c r="X21" s="38"/>
      <c r="Y21" s="39" t="n">
        <v>0.542230816837602</v>
      </c>
    </row>
    <row r="22" customFormat="false" ht="12.75" hidden="false" customHeight="false" outlineLevel="0" collapsed="false">
      <c r="A22" s="0" t="s">
        <v>79</v>
      </c>
      <c r="B22" s="30" t="n">
        <f aca="false">3482+-86113</f>
        <v>-82631</v>
      </c>
      <c r="C22" s="30"/>
      <c r="D22" s="30"/>
      <c r="E22" s="30"/>
      <c r="F22" s="30" t="n">
        <f aca="false">-38887/2</f>
        <v>-19443.5</v>
      </c>
      <c r="G22" s="30" t="n">
        <v>-4</v>
      </c>
      <c r="H22" s="30" t="n">
        <f aca="false">D22+F22</f>
        <v>-19443.5</v>
      </c>
      <c r="I22" s="30"/>
      <c r="J22" s="33" t="n">
        <f aca="false">SUM(B22:F22)</f>
        <v>-102074.5</v>
      </c>
      <c r="K22" s="30"/>
      <c r="L22" s="30"/>
      <c r="M22" s="30"/>
      <c r="N22" s="30" t="n">
        <f aca="false">B22-L22</f>
        <v>-82631</v>
      </c>
      <c r="O22" s="30"/>
      <c r="P22" s="30" t="n">
        <f aca="false">J22*0.15</f>
        <v>-15311.175</v>
      </c>
      <c r="Q22" s="30"/>
      <c r="R22" s="30" t="n">
        <f aca="false">J22-N22-P22</f>
        <v>-4132.325</v>
      </c>
      <c r="T22" s="36" t="n">
        <v>36831</v>
      </c>
      <c r="U22" s="37" t="n">
        <v>-35289257.4225852</v>
      </c>
      <c r="V22" s="38"/>
      <c r="W22" s="37" t="n">
        <v>-87533996.1600001</v>
      </c>
      <c r="X22" s="38"/>
      <c r="Y22" s="39" t="n">
        <v>0.403149164560947</v>
      </c>
    </row>
    <row r="23" customFormat="false" ht="12.75" hidden="false" customHeight="false" outlineLevel="0" collapsed="false">
      <c r="A23" s="0" t="s">
        <v>87</v>
      </c>
      <c r="B23" s="30"/>
      <c r="C23" s="30"/>
      <c r="D23" s="30"/>
      <c r="E23" s="30"/>
      <c r="F23" s="30"/>
      <c r="G23" s="30"/>
      <c r="H23" s="30"/>
      <c r="I23" s="30"/>
      <c r="J23" s="33"/>
      <c r="K23" s="30"/>
      <c r="L23" s="30"/>
      <c r="M23" s="30"/>
      <c r="N23" s="30"/>
      <c r="O23" s="30"/>
      <c r="P23" s="30"/>
      <c r="Q23" s="30"/>
      <c r="R23" s="30" t="n">
        <f aca="false">J23-N23-P23</f>
        <v>0</v>
      </c>
      <c r="T23" s="36" t="n">
        <v>36861</v>
      </c>
      <c r="U23" s="37" t="n">
        <v>-7657083.82005369</v>
      </c>
      <c r="V23" s="38"/>
      <c r="W23" s="37" t="n">
        <v>-133279597.81</v>
      </c>
      <c r="X23" s="38"/>
      <c r="Y23" s="39" t="n">
        <v>0.0574512824608717</v>
      </c>
    </row>
    <row r="24" customFormat="false" ht="12.75" hidden="false" customHeight="false" outlineLevel="0" collapsed="false">
      <c r="A24" s="34" t="s">
        <v>88</v>
      </c>
      <c r="B24" s="30" t="n">
        <v>24138</v>
      </c>
      <c r="C24" s="30"/>
      <c r="D24" s="30"/>
      <c r="E24" s="30"/>
      <c r="F24" s="30"/>
      <c r="G24" s="30"/>
      <c r="H24" s="30"/>
      <c r="I24" s="30"/>
      <c r="J24" s="33" t="n">
        <f aca="false">SUM(B24:F24)</f>
        <v>24138</v>
      </c>
      <c r="K24" s="30"/>
      <c r="L24" s="30"/>
      <c r="M24" s="30"/>
      <c r="N24" s="30" t="n">
        <f aca="false">B24-L24</f>
        <v>24138</v>
      </c>
      <c r="O24" s="30"/>
      <c r="P24" s="30" t="n">
        <f aca="false">J24*0.15</f>
        <v>3620.7</v>
      </c>
      <c r="Q24" s="30"/>
      <c r="R24" s="30" t="n">
        <f aca="false">J24-N24-P24</f>
        <v>-3620.7</v>
      </c>
      <c r="T24" s="36" t="n">
        <v>36892</v>
      </c>
      <c r="U24" s="40" t="n">
        <v>-10555471.4949771</v>
      </c>
      <c r="V24" s="41"/>
      <c r="W24" s="40" t="n">
        <v>-105161522.75</v>
      </c>
      <c r="X24" s="38"/>
      <c r="Y24" s="39" t="n">
        <v>0.100373893596715</v>
      </c>
    </row>
    <row r="25" customFormat="false" ht="12.75" hidden="false" customHeight="false" outlineLevel="0" collapsed="false">
      <c r="A25" s="34" t="s">
        <v>89</v>
      </c>
      <c r="B25" s="30" t="n">
        <v>74190</v>
      </c>
      <c r="C25" s="30"/>
      <c r="D25" s="30"/>
      <c r="E25" s="30"/>
      <c r="F25" s="30" t="n">
        <v>-5595</v>
      </c>
      <c r="G25" s="30" t="n">
        <v>-5</v>
      </c>
      <c r="H25" s="30" t="n">
        <f aca="false">D25+F25</f>
        <v>-5595</v>
      </c>
      <c r="I25" s="30"/>
      <c r="J25" s="33" t="n">
        <f aca="false">SUM(B25:F25)</f>
        <v>68595</v>
      </c>
      <c r="K25" s="30"/>
      <c r="L25" s="30" t="n">
        <v>24000</v>
      </c>
      <c r="M25" s="30"/>
      <c r="N25" s="30" t="n">
        <f aca="false">B25-L25</f>
        <v>50190</v>
      </c>
      <c r="O25" s="30"/>
      <c r="P25" s="30" t="n">
        <f aca="false">J25*0.15</f>
        <v>10289.25</v>
      </c>
      <c r="Q25" s="30"/>
      <c r="R25" s="30" t="n">
        <f aca="false">J25-N25-P25</f>
        <v>8115.75</v>
      </c>
      <c r="T25" s="36"/>
      <c r="U25" s="37" t="n">
        <f aca="false">SUM(U21:U24)</f>
        <v>-88787694.358493</v>
      </c>
      <c r="V25" s="38"/>
      <c r="W25" s="37" t="n">
        <f aca="false">SUM(W21:W24)</f>
        <v>-391050506.25</v>
      </c>
      <c r="X25" s="38"/>
      <c r="Y25" s="39" t="n">
        <f aca="false">U25/W25</f>
        <v>0.227049173800917</v>
      </c>
    </row>
    <row r="26" customFormat="false" ht="12.75" hidden="false" customHeight="false" outlineLevel="0" collapsed="false">
      <c r="B26" s="30"/>
      <c r="C26" s="30"/>
      <c r="D26" s="30"/>
      <c r="E26" s="30"/>
      <c r="F26" s="30"/>
      <c r="G26" s="30"/>
      <c r="H26" s="30"/>
      <c r="I26" s="30"/>
      <c r="J26" s="33"/>
      <c r="K26" s="30"/>
      <c r="L26" s="30"/>
      <c r="M26" s="30"/>
      <c r="N26" s="30"/>
      <c r="O26" s="30"/>
      <c r="P26" s="30"/>
      <c r="Q26" s="30"/>
      <c r="R26" s="30"/>
    </row>
    <row r="27" customFormat="false" ht="13.5" hidden="false" customHeight="false" outlineLevel="0" collapsed="false">
      <c r="B27" s="42" t="n">
        <f aca="false">SUM(B12:B26)</f>
        <v>521678</v>
      </c>
      <c r="C27" s="42"/>
      <c r="D27" s="42" t="n">
        <f aca="false">SUM(D12:D26)</f>
        <v>-111543.75</v>
      </c>
      <c r="E27" s="42"/>
      <c r="F27" s="42" t="n">
        <f aca="false">SUM(F12:F26)</f>
        <v>-49498.7449193548</v>
      </c>
      <c r="G27" s="42"/>
      <c r="H27" s="42" t="n">
        <f aca="false">SUM(H12:H26)</f>
        <v>-161042.494919355</v>
      </c>
      <c r="I27" s="42"/>
      <c r="J27" s="43" t="n">
        <f aca="false">SUM(J12:J26)</f>
        <v>360633.505080645</v>
      </c>
      <c r="K27" s="42"/>
      <c r="L27" s="42" t="n">
        <f aca="false">SUM(L12:L26)</f>
        <v>322207</v>
      </c>
      <c r="M27" s="42"/>
      <c r="N27" s="42" t="n">
        <f aca="false">SUM(N12:N26)</f>
        <v>199471</v>
      </c>
      <c r="O27" s="42"/>
      <c r="P27" s="42" t="n">
        <f aca="false">SUM(P12:P26)</f>
        <v>54095.0257620968</v>
      </c>
      <c r="Q27" s="42"/>
      <c r="R27" s="42" t="n">
        <f aca="false">SUM(R12:R26)</f>
        <v>107067.479318548</v>
      </c>
    </row>
    <row r="28" customFormat="false" ht="13.5" hidden="false" customHeight="false" outlineLevel="0" collapsed="false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 customFormat="false" ht="12.75" hidden="false" customHeight="false" outlineLevel="0" collapsed="false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5" t="n">
        <f aca="false">J27-N27-F17-P27</f>
        <v>116246.046818548</v>
      </c>
      <c r="T29" s="0" t="s">
        <v>90</v>
      </c>
    </row>
    <row r="30" customFormat="false" ht="18" hidden="false" customHeight="false" outlineLevel="0" collapsed="false">
      <c r="A30" s="4" t="s">
        <v>91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V30" s="0" t="n">
        <v>42762</v>
      </c>
      <c r="W30" s="0" t="n">
        <v>7000</v>
      </c>
      <c r="X30" s="0" t="n">
        <f aca="false">W30/W34</f>
        <v>0.166666666666667</v>
      </c>
      <c r="Y30" s="0" t="n">
        <f aca="false">W30/12000</f>
        <v>0.583333333333333</v>
      </c>
    </row>
    <row r="31" customFormat="false" ht="18" hidden="false" customHeight="false" outlineLevel="0" collapsed="false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</row>
    <row r="32" customFormat="false" ht="12.75" hidden="false" customHeight="false" outlineLevel="0" collapsed="false">
      <c r="A32" s="32" t="s">
        <v>92</v>
      </c>
      <c r="G32" s="32" t="s">
        <v>93</v>
      </c>
      <c r="S32" s="30"/>
      <c r="W32" s="0" t="n">
        <v>30000</v>
      </c>
      <c r="X32" s="0" t="n">
        <f aca="false">W32/W34</f>
        <v>0.714285714285714</v>
      </c>
    </row>
    <row r="33" customFormat="false" ht="12.75" hidden="false" customHeight="false" outlineLevel="0" collapsed="false">
      <c r="A33" s="0" t="s">
        <v>94</v>
      </c>
      <c r="G33" s="0" t="s">
        <v>95</v>
      </c>
      <c r="W33" s="27" t="n">
        <v>5000</v>
      </c>
      <c r="X33" s="0" t="n">
        <f aca="false">W33/W34</f>
        <v>0.119047619047619</v>
      </c>
      <c r="Y33" s="0" t="n">
        <f aca="false">W33/12000</f>
        <v>0.416666666666667</v>
      </c>
    </row>
    <row r="34" customFormat="false" ht="12.75" hidden="false" customHeight="false" outlineLevel="0" collapsed="false">
      <c r="A34" s="0" t="s">
        <v>96</v>
      </c>
      <c r="G34" s="0" t="s">
        <v>97</v>
      </c>
      <c r="W34" s="0" t="n">
        <f aca="false">SUM(W30:W33)</f>
        <v>42000</v>
      </c>
    </row>
    <row r="35" customFormat="false" ht="12.75" hidden="false" customHeight="false" outlineLevel="0" collapsed="false">
      <c r="A35" s="0" t="s">
        <v>98</v>
      </c>
      <c r="G35" s="0" t="s">
        <v>99</v>
      </c>
      <c r="X35" s="0" t="n">
        <f aca="false">X30+X33</f>
        <v>0.285714285714286</v>
      </c>
    </row>
    <row r="36" customFormat="false" ht="12.75" hidden="false" customHeight="false" outlineLevel="0" collapsed="false">
      <c r="A36" s="0" t="s">
        <v>116</v>
      </c>
      <c r="H36" s="0" t="s">
        <v>101</v>
      </c>
    </row>
    <row r="37" customFormat="false" ht="12.75" hidden="false" customHeight="false" outlineLevel="0" collapsed="false">
      <c r="G37" s="0" t="s">
        <v>102</v>
      </c>
    </row>
    <row r="38" customFormat="false" ht="12.75" hidden="false" customHeight="false" outlineLevel="0" collapsed="false">
      <c r="A38" s="0" t="s">
        <v>103</v>
      </c>
      <c r="H38" s="0" t="s">
        <v>101</v>
      </c>
    </row>
    <row r="39" customFormat="false" ht="12.75" hidden="false" customHeight="false" outlineLevel="0" collapsed="false">
      <c r="A39" s="0" t="s">
        <v>104</v>
      </c>
    </row>
    <row r="40" customFormat="false" ht="12.75" hidden="false" customHeight="false" outlineLevel="0" collapsed="false">
      <c r="A40" s="0" t="s">
        <v>105</v>
      </c>
      <c r="G40" s="32" t="s">
        <v>106</v>
      </c>
    </row>
    <row r="41" customFormat="false" ht="12.75" hidden="false" customHeight="false" outlineLevel="0" collapsed="false">
      <c r="A41" s="0" t="s">
        <v>41</v>
      </c>
      <c r="G41" s="0" t="s">
        <v>107</v>
      </c>
      <c r="L41" s="30" t="n">
        <v>100250</v>
      </c>
      <c r="N41" s="0" t="s">
        <v>108</v>
      </c>
    </row>
    <row r="42" customFormat="false" ht="12.75" hidden="false" customHeight="false" outlineLevel="0" collapsed="false">
      <c r="G42" s="0" t="s">
        <v>109</v>
      </c>
      <c r="L42" s="30" t="n">
        <f aca="false">15000+36500+92290</f>
        <v>143790</v>
      </c>
      <c r="N42" s="0" t="s">
        <v>110</v>
      </c>
    </row>
    <row r="43" customFormat="false" ht="12.75" hidden="false" customHeight="false" outlineLevel="0" collapsed="false">
      <c r="L43" s="30"/>
    </row>
    <row r="44" customFormat="false" ht="12.75" hidden="false" customHeight="false" outlineLevel="0" collapsed="false">
      <c r="A44" s="34" t="s">
        <v>111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46"/>
    </row>
    <row r="46" customFormat="false" ht="12.75" hidden="false" customHeight="false" outlineLevel="0" collapsed="false">
      <c r="A46" s="47"/>
      <c r="B46" s="47"/>
      <c r="C46" s="47"/>
      <c r="D46" s="47"/>
      <c r="E46" s="47"/>
    </row>
    <row r="47" customFormat="false" ht="12.75" hidden="false" customHeight="false" outlineLevel="0" collapsed="false">
      <c r="A47" s="48" t="s">
        <v>112</v>
      </c>
      <c r="B47" s="49"/>
      <c r="C47" s="49"/>
      <c r="D47" s="47"/>
      <c r="E47" s="47"/>
    </row>
    <row r="48" customFormat="false" ht="12.75" hidden="false" customHeight="false" outlineLevel="0" collapsed="false">
      <c r="A48" s="50" t="s">
        <v>113</v>
      </c>
      <c r="B48" s="51" t="n">
        <f aca="false">F17*Y33</f>
        <v>-3824.403125</v>
      </c>
      <c r="C48" s="49"/>
      <c r="D48" s="47"/>
    </row>
    <row r="49" customFormat="false" ht="12.75" hidden="false" customHeight="false" outlineLevel="0" collapsed="false">
      <c r="A49" s="50" t="s">
        <v>114</v>
      </c>
      <c r="B49" s="52" t="n">
        <f aca="false">F17*Y30</f>
        <v>-5354.164375</v>
      </c>
      <c r="C49" s="49"/>
      <c r="F49" s="30"/>
    </row>
    <row r="50" customFormat="false" ht="12.75" hidden="false" customHeight="false" outlineLevel="0" collapsed="false">
      <c r="B50" s="30"/>
    </row>
    <row r="51" customFormat="false" ht="12.75" hidden="false" customHeight="false" outlineLevel="0" collapsed="false">
      <c r="A51" s="5" t="n">
        <v>3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</sheetData>
  <mergeCells count="5">
    <mergeCell ref="A2:R2"/>
    <mergeCell ref="A3:R3"/>
    <mergeCell ref="A4:R4"/>
    <mergeCell ref="A30:R30"/>
    <mergeCell ref="A51:R5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0" activeCellId="0" sqref="A30:R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3" min="3" style="0" width="2.7"/>
    <col collapsed="false" customWidth="true" hidden="false" outlineLevel="0" max="5" min="5" style="0" width="3.14"/>
    <col collapsed="false" customWidth="true" hidden="false" outlineLevel="0" max="6" min="6" style="0" width="12.56"/>
    <col collapsed="false" customWidth="true" hidden="false" outlineLevel="0" max="7" min="7" style="0" width="3.14"/>
    <col collapsed="false" customWidth="true" hidden="false" outlineLevel="0" max="8" min="8" style="0" width="11.99"/>
    <col collapsed="false" customWidth="true" hidden="false" outlineLevel="0" max="9" min="9" style="0" width="2.7"/>
    <col collapsed="false" customWidth="true" hidden="false" outlineLevel="0" max="11" min="11" style="0" width="2.7"/>
    <col collapsed="false" customWidth="true" hidden="false" outlineLevel="0" max="12" min="12" style="0" width="9.7"/>
    <col collapsed="false" customWidth="true" hidden="false" outlineLevel="0" max="13" min="13" style="0" width="2.7"/>
    <col collapsed="false" customWidth="true" hidden="false" outlineLevel="0" max="14" min="14" style="0" width="13.28"/>
    <col collapsed="false" customWidth="true" hidden="false" outlineLevel="0" max="15" min="15" style="0" width="2.7"/>
    <col collapsed="false" customWidth="true" hidden="false" outlineLevel="0" max="16" min="16" style="0" width="10.85"/>
    <col collapsed="false" customWidth="true" hidden="false" outlineLevel="0" max="17" min="17" style="0" width="2.7"/>
    <col collapsed="false" customWidth="true" hidden="false" outlineLevel="0" max="18" min="18" style="0" width="11.28"/>
    <col collapsed="false" customWidth="true" hidden="false" outlineLevel="0" max="21" min="21" style="0" width="13.28"/>
    <col collapsed="false" customWidth="true" hidden="false" outlineLevel="0" max="23" min="23" style="0" width="14.28"/>
    <col collapsed="false" customWidth="true" hidden="false" outlineLevel="0" max="25" min="25" style="0" width="12.28"/>
  </cols>
  <sheetData>
    <row r="1" customFormat="false" ht="12.75" hidden="false" customHeight="false" outlineLevel="0" collapsed="false">
      <c r="A1" s="23" t="s">
        <v>35</v>
      </c>
    </row>
    <row r="2" customFormat="false" ht="12.75" hidden="false" customHeight="false" outlineLevel="0" collapsed="false">
      <c r="A2" s="5" t="s">
        <v>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customFormat="false" ht="12.75" hidden="false" customHeight="false" outlineLevel="0" collapsed="false">
      <c r="A3" s="5" t="s">
        <v>37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customFormat="false" ht="12.75" hidden="false" customHeight="false" outlineLevel="0" collapsed="false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customFormat="false" ht="12.75" hidden="false" customHeight="false" outlineLevel="0" collapsed="false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customFormat="false" ht="12.75" hidden="false" customHeight="false" outlineLevel="0" collapsed="false">
      <c r="A6" s="25" t="s">
        <v>117</v>
      </c>
      <c r="B6" s="24" t="s">
        <v>39</v>
      </c>
      <c r="C6" s="24"/>
      <c r="D6" s="24" t="s">
        <v>40</v>
      </c>
      <c r="E6" s="24" t="s">
        <v>41</v>
      </c>
      <c r="F6" s="24" t="s">
        <v>42</v>
      </c>
      <c r="G6" s="24" t="s">
        <v>41</v>
      </c>
      <c r="H6" s="24" t="s">
        <v>43</v>
      </c>
      <c r="I6" s="24"/>
      <c r="J6" s="24" t="s">
        <v>44</v>
      </c>
      <c r="K6" s="24" t="s">
        <v>41</v>
      </c>
      <c r="L6" s="24" t="s">
        <v>45</v>
      </c>
      <c r="M6" s="24" t="s">
        <v>41</v>
      </c>
      <c r="N6" s="24" t="s">
        <v>46</v>
      </c>
      <c r="O6" s="24"/>
      <c r="P6" s="24" t="s">
        <v>47</v>
      </c>
      <c r="Q6" s="24"/>
      <c r="R6" s="24" t="s">
        <v>48</v>
      </c>
      <c r="S6" s="24"/>
    </row>
    <row r="7" customFormat="false" ht="12.75" hidden="false" customHeight="false" outlineLevel="0" collapsed="false">
      <c r="A7" s="24"/>
      <c r="B7" s="24"/>
      <c r="C7" s="24"/>
      <c r="D7" s="24"/>
      <c r="E7" s="24"/>
      <c r="F7" s="24"/>
      <c r="G7" s="24"/>
      <c r="H7" s="24" t="s">
        <v>49</v>
      </c>
      <c r="I7" s="24"/>
      <c r="J7" s="24" t="s">
        <v>50</v>
      </c>
      <c r="K7" s="24"/>
      <c r="L7" s="24"/>
      <c r="M7" s="24"/>
      <c r="N7" s="24" t="s">
        <v>51</v>
      </c>
      <c r="O7" s="24"/>
      <c r="P7" s="24" t="s">
        <v>52</v>
      </c>
      <c r="Q7" s="24"/>
      <c r="R7" s="24" t="s">
        <v>53</v>
      </c>
      <c r="S7" s="24"/>
    </row>
    <row r="8" customFormat="false" ht="12.75" hidden="false" customHeight="false" outlineLevel="0" collapsed="false">
      <c r="A8" s="24" t="s">
        <v>54</v>
      </c>
      <c r="B8" s="26" t="n">
        <v>1</v>
      </c>
      <c r="C8" s="26"/>
      <c r="D8" s="24" t="s">
        <v>55</v>
      </c>
      <c r="E8" s="24"/>
      <c r="F8" s="24" t="s">
        <v>56</v>
      </c>
      <c r="G8" s="24"/>
      <c r="H8" s="24" t="s">
        <v>57</v>
      </c>
      <c r="I8" s="24"/>
      <c r="J8" s="24" t="s">
        <v>58</v>
      </c>
      <c r="K8" s="24"/>
      <c r="L8" s="24" t="s">
        <v>59</v>
      </c>
      <c r="M8" s="24"/>
      <c r="N8" s="24" t="s">
        <v>60</v>
      </c>
      <c r="O8" s="24"/>
      <c r="P8" s="24" t="s">
        <v>61</v>
      </c>
      <c r="Q8" s="24"/>
      <c r="R8" s="24" t="s">
        <v>62</v>
      </c>
      <c r="S8" s="24"/>
    </row>
    <row r="9" customFormat="false" ht="12.75" hidden="false" customHeight="false" outlineLevel="0" collapsed="false">
      <c r="A9" s="27"/>
      <c r="B9" s="28" t="s">
        <v>63</v>
      </c>
      <c r="C9" s="28"/>
      <c r="D9" s="28" t="s">
        <v>8</v>
      </c>
      <c r="E9" s="28"/>
      <c r="F9" s="28" t="s">
        <v>64</v>
      </c>
      <c r="G9" s="28"/>
      <c r="H9" s="28" t="s">
        <v>65</v>
      </c>
      <c r="I9" s="28"/>
      <c r="J9" s="28" t="s">
        <v>63</v>
      </c>
      <c r="K9" s="28"/>
      <c r="L9" s="28" t="s">
        <v>66</v>
      </c>
      <c r="M9" s="28"/>
      <c r="N9" s="28" t="s">
        <v>67</v>
      </c>
      <c r="O9" s="28"/>
      <c r="P9" s="28" t="s">
        <v>68</v>
      </c>
      <c r="Q9" s="28"/>
      <c r="R9" s="28" t="s">
        <v>69</v>
      </c>
      <c r="S9" s="24"/>
      <c r="T9" s="0" t="s">
        <v>70</v>
      </c>
    </row>
    <row r="10" customFormat="false" ht="12.75" hidden="false" customHeight="false" outlineLevel="0" collapsed="false">
      <c r="A10" s="25" t="s">
        <v>71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30"/>
      <c r="U10" s="31" t="n">
        <f aca="false">D12</f>
        <v>-121184.7</v>
      </c>
      <c r="V10" s="0" t="n">
        <f aca="false">-403949*0.2</f>
        <v>-80789.8</v>
      </c>
      <c r="W10" s="0" t="s">
        <v>72</v>
      </c>
    </row>
    <row r="11" customFormat="false" ht="12.75" hidden="false" customHeight="false" outlineLevel="0" collapsed="false">
      <c r="A11" s="32" t="s">
        <v>73</v>
      </c>
      <c r="B11" s="30"/>
      <c r="C11" s="30"/>
      <c r="D11" s="30"/>
      <c r="E11" s="30"/>
      <c r="F11" s="30"/>
      <c r="G11" s="30"/>
      <c r="H11" s="30"/>
      <c r="I11" s="30"/>
      <c r="J11" s="33"/>
      <c r="K11" s="30"/>
      <c r="L11" s="30"/>
      <c r="M11" s="30"/>
      <c r="N11" s="30"/>
      <c r="O11" s="30"/>
      <c r="P11" s="30"/>
      <c r="Q11" s="30"/>
      <c r="R11" s="30"/>
      <c r="S11" s="31"/>
      <c r="U11" s="31" t="n">
        <f aca="false">D17</f>
        <v>-12667.8</v>
      </c>
      <c r="V11" s="0" t="n">
        <v>0</v>
      </c>
      <c r="W11" s="0" t="s">
        <v>74</v>
      </c>
    </row>
    <row r="12" customFormat="false" ht="12.75" hidden="false" customHeight="false" outlineLevel="0" collapsed="false">
      <c r="A12" s="0" t="s">
        <v>75</v>
      </c>
      <c r="B12" s="30" t="n">
        <v>403949</v>
      </c>
      <c r="C12" s="30"/>
      <c r="D12" s="30" t="n">
        <f aca="false">-B12*0.3</f>
        <v>-121184.7</v>
      </c>
      <c r="E12" s="30" t="n">
        <v>-1</v>
      </c>
      <c r="F12" s="30"/>
      <c r="G12" s="30"/>
      <c r="H12" s="30" t="n">
        <f aca="false">D12+F12</f>
        <v>-121184.7</v>
      </c>
      <c r="I12" s="30"/>
      <c r="J12" s="33" t="n">
        <f aca="false">SUM(B12:F12)</f>
        <v>282763.3</v>
      </c>
      <c r="K12" s="30"/>
      <c r="L12" s="30" t="n">
        <v>242369</v>
      </c>
      <c r="M12" s="30"/>
      <c r="N12" s="30" t="n">
        <f aca="false">B12-L12</f>
        <v>161580</v>
      </c>
      <c r="O12" s="30"/>
      <c r="P12" s="30" t="n">
        <f aca="false">J12*0.15</f>
        <v>42414.495</v>
      </c>
      <c r="Q12" s="30"/>
      <c r="R12" s="30" t="n">
        <f aca="false">J12-N12-P12</f>
        <v>78768.805</v>
      </c>
      <c r="S12" s="31"/>
      <c r="U12" s="31"/>
    </row>
    <row r="13" customFormat="false" ht="12.75" hidden="false" customHeight="false" outlineLevel="0" collapsed="false">
      <c r="A13" s="34" t="s">
        <v>76</v>
      </c>
      <c r="B13" s="30"/>
      <c r="C13" s="30"/>
      <c r="D13" s="30"/>
      <c r="E13" s="30"/>
      <c r="F13" s="30"/>
      <c r="G13" s="30"/>
      <c r="H13" s="30"/>
      <c r="I13" s="30"/>
      <c r="J13" s="33"/>
      <c r="K13" s="30"/>
      <c r="L13" s="30"/>
      <c r="M13" s="30"/>
      <c r="N13" s="30"/>
      <c r="O13" s="30"/>
      <c r="P13" s="30"/>
      <c r="Q13" s="30"/>
      <c r="R13" s="30" t="n">
        <f aca="false">J13-N13-P13</f>
        <v>0</v>
      </c>
      <c r="S13" s="31"/>
      <c r="U13" s="31" t="n">
        <f aca="false">F17</f>
        <v>-8576.847</v>
      </c>
      <c r="V13" s="0" t="n">
        <v>0</v>
      </c>
      <c r="W13" s="0" t="s">
        <v>77</v>
      </c>
    </row>
    <row r="14" customFormat="false" ht="12.75" hidden="false" customHeight="false" outlineLevel="0" collapsed="false">
      <c r="B14" s="30"/>
      <c r="C14" s="30"/>
      <c r="D14" s="30"/>
      <c r="E14" s="30"/>
      <c r="F14" s="30"/>
      <c r="G14" s="30"/>
      <c r="H14" s="30"/>
      <c r="I14" s="30"/>
      <c r="J14" s="33"/>
      <c r="K14" s="30"/>
      <c r="L14" s="30"/>
      <c r="M14" s="30"/>
      <c r="N14" s="30"/>
      <c r="O14" s="30"/>
      <c r="P14" s="30"/>
      <c r="Q14" s="30"/>
      <c r="R14" s="30" t="n">
        <f aca="false">J14-N14-P14</f>
        <v>0</v>
      </c>
      <c r="S14" s="31"/>
      <c r="U14" s="31" t="n">
        <v>-19444</v>
      </c>
      <c r="V14" s="0" t="n">
        <v>-38887</v>
      </c>
      <c r="W14" s="0" t="s">
        <v>78</v>
      </c>
    </row>
    <row r="15" customFormat="false" ht="12.75" hidden="false" customHeight="false" outlineLevel="0" collapsed="false">
      <c r="A15" s="32" t="s">
        <v>79</v>
      </c>
      <c r="B15" s="30"/>
      <c r="C15" s="30"/>
      <c r="D15" s="30"/>
      <c r="E15" s="30"/>
      <c r="F15" s="30"/>
      <c r="G15" s="30"/>
      <c r="H15" s="30"/>
      <c r="I15" s="30"/>
      <c r="J15" s="33"/>
      <c r="K15" s="30"/>
      <c r="L15" s="30"/>
      <c r="M15" s="30"/>
      <c r="N15" s="30"/>
      <c r="O15" s="30"/>
      <c r="P15" s="30"/>
      <c r="Q15" s="30"/>
      <c r="R15" s="30" t="n">
        <f aca="false">J15-N15-P15</f>
        <v>0</v>
      </c>
      <c r="S15" s="31"/>
      <c r="U15" s="31" t="n">
        <f aca="false">F25</f>
        <v>-5595</v>
      </c>
      <c r="V15" s="0" t="n">
        <v>-11190</v>
      </c>
      <c r="W15" s="0" t="s">
        <v>78</v>
      </c>
    </row>
    <row r="16" customFormat="false" ht="12.75" hidden="false" customHeight="false" outlineLevel="0" collapsed="false">
      <c r="A16" s="32" t="s">
        <v>80</v>
      </c>
      <c r="B16" s="30"/>
      <c r="C16" s="30"/>
      <c r="D16" s="30"/>
      <c r="E16" s="30"/>
      <c r="F16" s="30"/>
      <c r="G16" s="30"/>
      <c r="H16" s="30"/>
      <c r="I16" s="30"/>
      <c r="J16" s="33"/>
      <c r="K16" s="30"/>
      <c r="L16" s="30"/>
      <c r="M16" s="30"/>
      <c r="N16" s="30"/>
      <c r="O16" s="30"/>
      <c r="P16" s="30"/>
      <c r="Q16" s="30"/>
      <c r="R16" s="30" t="n">
        <f aca="false">J16-N16-P16</f>
        <v>0</v>
      </c>
      <c r="S16" s="31"/>
      <c r="U16" s="31"/>
    </row>
    <row r="17" customFormat="false" ht="12.75" hidden="false" customHeight="false" outlineLevel="0" collapsed="false">
      <c r="A17" s="0" t="s">
        <v>81</v>
      </c>
      <c r="B17" s="30" t="n">
        <v>42762</v>
      </c>
      <c r="C17" s="30"/>
      <c r="D17" s="30" t="n">
        <f aca="false">-'Detail by Transaction Type'!B15*0.3</f>
        <v>-12667.8</v>
      </c>
      <c r="E17" s="30" t="n">
        <v>-1</v>
      </c>
      <c r="F17" s="35" t="n">
        <f aca="false">-(B17+D17)*0.285</f>
        <v>-8576.847</v>
      </c>
      <c r="G17" s="30" t="n">
        <v>-2</v>
      </c>
      <c r="H17" s="30" t="n">
        <f aca="false">D17+F17</f>
        <v>-21244.647</v>
      </c>
      <c r="I17" s="30"/>
      <c r="J17" s="33" t="n">
        <f aca="false">SUM(B17:F17)</f>
        <v>21516.353</v>
      </c>
      <c r="K17" s="30"/>
      <c r="L17" s="30" t="n">
        <f aca="false">22000</f>
        <v>22000</v>
      </c>
      <c r="M17" s="30"/>
      <c r="N17" s="30" t="n">
        <f aca="false">B17-L17</f>
        <v>20762</v>
      </c>
      <c r="O17" s="30"/>
      <c r="P17" s="30" t="n">
        <f aca="false">J17*0.15</f>
        <v>3227.45295</v>
      </c>
      <c r="Q17" s="30"/>
      <c r="R17" s="30" t="n">
        <f aca="false">J17-N17-P17</f>
        <v>-2473.09995</v>
      </c>
      <c r="S17" s="31"/>
      <c r="U17" s="27" t="n">
        <v>-15282</v>
      </c>
      <c r="V17" s="27" t="n">
        <v>-33838</v>
      </c>
      <c r="W17" s="0" t="s">
        <v>82</v>
      </c>
    </row>
    <row r="18" customFormat="false" ht="12.75" hidden="false" customHeight="false" outlineLevel="0" collapsed="false">
      <c r="A18" s="0" t="s">
        <v>83</v>
      </c>
      <c r="B18" s="30" t="n">
        <v>33838</v>
      </c>
      <c r="C18" s="30"/>
      <c r="D18" s="30"/>
      <c r="E18" s="30"/>
      <c r="F18" s="30" t="n">
        <f aca="false">-(B18/31)*14</f>
        <v>-15281.6774193548</v>
      </c>
      <c r="G18" s="30" t="n">
        <v>-3</v>
      </c>
      <c r="H18" s="30" t="n">
        <f aca="false">D18+F18</f>
        <v>-15281.6774193548</v>
      </c>
      <c r="I18" s="30"/>
      <c r="J18" s="33" t="n">
        <f aca="false">SUM(B18:F18)</f>
        <v>18556.3225806452</v>
      </c>
      <c r="K18" s="30"/>
      <c r="L18" s="30" t="n">
        <v>33838</v>
      </c>
      <c r="M18" s="30"/>
      <c r="N18" s="30"/>
      <c r="O18" s="30"/>
      <c r="P18" s="30" t="n">
        <f aca="false">J18*0.15</f>
        <v>2783.44838709677</v>
      </c>
      <c r="Q18" s="30"/>
      <c r="R18" s="30" t="n">
        <f aca="false">J18-N18-P18</f>
        <v>15772.8741935484</v>
      </c>
      <c r="S18" s="31"/>
      <c r="U18" s="31" t="n">
        <f aca="false">SUM(U10:U17)</f>
        <v>-182750.347</v>
      </c>
      <c r="V18" s="0" t="n">
        <f aca="false">SUM(V10:V17)</f>
        <v>-164704.8</v>
      </c>
      <c r="W18" s="31" t="n">
        <f aca="false">U18-V18</f>
        <v>-18045.547</v>
      </c>
    </row>
    <row r="19" customFormat="false" ht="12.75" hidden="false" customHeight="false" outlineLevel="0" collapsed="false">
      <c r="B19" s="30"/>
      <c r="C19" s="30"/>
      <c r="D19" s="30"/>
      <c r="E19" s="30"/>
      <c r="F19" s="30"/>
      <c r="G19" s="30"/>
      <c r="H19" s="30"/>
      <c r="I19" s="30"/>
      <c r="J19" s="33"/>
      <c r="K19" s="30"/>
      <c r="L19" s="30"/>
      <c r="M19" s="30"/>
      <c r="N19" s="30"/>
      <c r="O19" s="30"/>
      <c r="P19" s="30"/>
      <c r="Q19" s="30"/>
      <c r="R19" s="30" t="n">
        <f aca="false">J19-N19-P19</f>
        <v>0</v>
      </c>
      <c r="S19" s="31"/>
    </row>
    <row r="20" customFormat="false" ht="12.75" hidden="false" customHeight="false" outlineLevel="0" collapsed="false">
      <c r="A20" s="32" t="s">
        <v>84</v>
      </c>
      <c r="B20" s="30"/>
      <c r="C20" s="30"/>
      <c r="D20" s="30"/>
      <c r="E20" s="30"/>
      <c r="F20" s="30"/>
      <c r="G20" s="30"/>
      <c r="H20" s="30"/>
      <c r="I20" s="30"/>
      <c r="J20" s="33"/>
      <c r="K20" s="30"/>
      <c r="L20" s="30"/>
      <c r="M20" s="30"/>
      <c r="N20" s="30"/>
      <c r="O20" s="30"/>
      <c r="P20" s="30"/>
      <c r="Q20" s="30"/>
      <c r="R20" s="30" t="n">
        <f aca="false">J20-N20-P20</f>
        <v>0</v>
      </c>
      <c r="S20" s="31"/>
      <c r="T20" s="0" t="s">
        <v>85</v>
      </c>
    </row>
    <row r="21" customFormat="false" ht="12.75" hidden="false" customHeight="false" outlineLevel="0" collapsed="false">
      <c r="A21" s="0" t="s">
        <v>86</v>
      </c>
      <c r="B21" s="30" t="n">
        <v>25432</v>
      </c>
      <c r="C21" s="30"/>
      <c r="D21" s="30"/>
      <c r="E21" s="30"/>
      <c r="F21" s="30"/>
      <c r="G21" s="30"/>
      <c r="H21" s="30"/>
      <c r="I21" s="30"/>
      <c r="J21" s="33" t="n">
        <f aca="false">SUM(B21:F21)</f>
        <v>25432</v>
      </c>
      <c r="K21" s="30"/>
      <c r="L21" s="30"/>
      <c r="M21" s="30"/>
      <c r="N21" s="30" t="n">
        <f aca="false">B21-L21</f>
        <v>25432</v>
      </c>
      <c r="O21" s="30"/>
      <c r="P21" s="30" t="n">
        <f aca="false">J21*0.15</f>
        <v>3814.8</v>
      </c>
      <c r="Q21" s="30"/>
      <c r="R21" s="30" t="n">
        <f aca="false">J21-N21-P21</f>
        <v>-3814.8</v>
      </c>
      <c r="S21" s="31"/>
      <c r="T21" s="36" t="n">
        <v>36800</v>
      </c>
      <c r="U21" s="37" t="n">
        <v>-35285881.620877</v>
      </c>
      <c r="V21" s="38"/>
      <c r="W21" s="37" t="n">
        <v>-65075389.53</v>
      </c>
      <c r="X21" s="38"/>
      <c r="Y21" s="39" t="n">
        <v>0.542230816837602</v>
      </c>
    </row>
    <row r="22" customFormat="false" ht="12.75" hidden="false" customHeight="false" outlineLevel="0" collapsed="false">
      <c r="A22" s="0" t="s">
        <v>79</v>
      </c>
      <c r="B22" s="30" t="n">
        <f aca="false">3482+-86113</f>
        <v>-82631</v>
      </c>
      <c r="C22" s="30"/>
      <c r="D22" s="30"/>
      <c r="E22" s="30"/>
      <c r="F22" s="30" t="n">
        <f aca="false">-38887/2</f>
        <v>-19443.5</v>
      </c>
      <c r="G22" s="30" t="n">
        <v>-4</v>
      </c>
      <c r="H22" s="30" t="n">
        <f aca="false">D22+F22</f>
        <v>-19443.5</v>
      </c>
      <c r="I22" s="30"/>
      <c r="J22" s="33" t="n">
        <f aca="false">SUM(B22:F22)</f>
        <v>-102074.5</v>
      </c>
      <c r="K22" s="30"/>
      <c r="L22" s="30"/>
      <c r="M22" s="30"/>
      <c r="N22" s="30" t="n">
        <f aca="false">B22-L22</f>
        <v>-82631</v>
      </c>
      <c r="O22" s="30"/>
      <c r="P22" s="30" t="n">
        <f aca="false">J22*0.15</f>
        <v>-15311.175</v>
      </c>
      <c r="Q22" s="30"/>
      <c r="R22" s="30" t="n">
        <f aca="false">J22-N22-P22</f>
        <v>-4132.325</v>
      </c>
      <c r="T22" s="36" t="n">
        <v>36831</v>
      </c>
      <c r="U22" s="37" t="n">
        <v>-35289257.4225852</v>
      </c>
      <c r="V22" s="38"/>
      <c r="W22" s="37" t="n">
        <v>-87533996.1600001</v>
      </c>
      <c r="X22" s="38"/>
      <c r="Y22" s="39" t="n">
        <v>0.403149164560947</v>
      </c>
    </row>
    <row r="23" customFormat="false" ht="12.75" hidden="false" customHeight="false" outlineLevel="0" collapsed="false">
      <c r="A23" s="0" t="s">
        <v>87</v>
      </c>
      <c r="B23" s="30"/>
      <c r="C23" s="30"/>
      <c r="D23" s="30"/>
      <c r="E23" s="30"/>
      <c r="F23" s="30"/>
      <c r="G23" s="30"/>
      <c r="H23" s="30"/>
      <c r="I23" s="30"/>
      <c r="J23" s="33"/>
      <c r="K23" s="30"/>
      <c r="L23" s="30"/>
      <c r="M23" s="30"/>
      <c r="N23" s="30"/>
      <c r="O23" s="30"/>
      <c r="P23" s="30"/>
      <c r="Q23" s="30"/>
      <c r="R23" s="30" t="n">
        <f aca="false">J23-N23-P23</f>
        <v>0</v>
      </c>
      <c r="T23" s="36" t="n">
        <v>36861</v>
      </c>
      <c r="U23" s="37" t="n">
        <v>-7657083.82005369</v>
      </c>
      <c r="V23" s="38"/>
      <c r="W23" s="37" t="n">
        <v>-133279597.81</v>
      </c>
      <c r="X23" s="38"/>
      <c r="Y23" s="39" t="n">
        <v>0.0574512824608717</v>
      </c>
    </row>
    <row r="24" customFormat="false" ht="12.75" hidden="false" customHeight="false" outlineLevel="0" collapsed="false">
      <c r="A24" s="34" t="s">
        <v>88</v>
      </c>
      <c r="B24" s="30" t="n">
        <v>24138</v>
      </c>
      <c r="C24" s="30"/>
      <c r="D24" s="30"/>
      <c r="E24" s="30"/>
      <c r="F24" s="30"/>
      <c r="G24" s="30"/>
      <c r="H24" s="30"/>
      <c r="I24" s="30"/>
      <c r="J24" s="33" t="n">
        <f aca="false">SUM(B24:F24)</f>
        <v>24138</v>
      </c>
      <c r="K24" s="30"/>
      <c r="L24" s="30"/>
      <c r="M24" s="30"/>
      <c r="N24" s="30" t="n">
        <f aca="false">B24-L24</f>
        <v>24138</v>
      </c>
      <c r="O24" s="30"/>
      <c r="P24" s="30" t="n">
        <f aca="false">J24*0.15</f>
        <v>3620.7</v>
      </c>
      <c r="Q24" s="30"/>
      <c r="R24" s="30" t="n">
        <f aca="false">J24-N24-P24</f>
        <v>-3620.7</v>
      </c>
      <c r="T24" s="36" t="n">
        <v>36892</v>
      </c>
      <c r="U24" s="40" t="n">
        <v>-10555471.4949771</v>
      </c>
      <c r="V24" s="41"/>
      <c r="W24" s="40" t="n">
        <v>-105161522.75</v>
      </c>
      <c r="X24" s="38"/>
      <c r="Y24" s="39" t="n">
        <v>0.100373893596715</v>
      </c>
    </row>
    <row r="25" customFormat="false" ht="12.75" hidden="false" customHeight="false" outlineLevel="0" collapsed="false">
      <c r="A25" s="34" t="s">
        <v>89</v>
      </c>
      <c r="B25" s="30" t="n">
        <v>74190</v>
      </c>
      <c r="C25" s="30"/>
      <c r="D25" s="30"/>
      <c r="E25" s="30"/>
      <c r="F25" s="30" t="n">
        <v>-5595</v>
      </c>
      <c r="G25" s="30" t="n">
        <v>-5</v>
      </c>
      <c r="H25" s="30" t="n">
        <f aca="false">D25+F25</f>
        <v>-5595</v>
      </c>
      <c r="I25" s="30"/>
      <c r="J25" s="33" t="n">
        <f aca="false">SUM(B25:F25)</f>
        <v>68595</v>
      </c>
      <c r="K25" s="30"/>
      <c r="L25" s="30" t="n">
        <v>24000</v>
      </c>
      <c r="M25" s="30"/>
      <c r="N25" s="30" t="n">
        <f aca="false">B25-L25</f>
        <v>50190</v>
      </c>
      <c r="O25" s="30"/>
      <c r="P25" s="30" t="n">
        <f aca="false">J25*0.15</f>
        <v>10289.25</v>
      </c>
      <c r="Q25" s="30"/>
      <c r="R25" s="30" t="n">
        <f aca="false">J25-N25-P25</f>
        <v>8115.75</v>
      </c>
      <c r="T25" s="36"/>
      <c r="U25" s="37" t="n">
        <f aca="false">SUM(U21:U24)</f>
        <v>-88787694.358493</v>
      </c>
      <c r="V25" s="38"/>
      <c r="W25" s="37" t="n">
        <f aca="false">SUM(W21:W24)</f>
        <v>-391050506.25</v>
      </c>
      <c r="X25" s="38"/>
      <c r="Y25" s="39" t="n">
        <f aca="false">U25/W25</f>
        <v>0.227049173800917</v>
      </c>
    </row>
    <row r="26" customFormat="false" ht="12.75" hidden="false" customHeight="false" outlineLevel="0" collapsed="false">
      <c r="B26" s="30"/>
      <c r="C26" s="30"/>
      <c r="D26" s="30"/>
      <c r="E26" s="30"/>
      <c r="F26" s="30"/>
      <c r="G26" s="30"/>
      <c r="H26" s="30"/>
      <c r="I26" s="30"/>
      <c r="J26" s="33"/>
      <c r="K26" s="30"/>
      <c r="L26" s="30"/>
      <c r="M26" s="30"/>
      <c r="N26" s="30"/>
      <c r="O26" s="30"/>
      <c r="P26" s="30"/>
      <c r="Q26" s="30"/>
      <c r="R26" s="30"/>
    </row>
    <row r="27" customFormat="false" ht="13.5" hidden="false" customHeight="false" outlineLevel="0" collapsed="false">
      <c r="B27" s="42" t="n">
        <f aca="false">SUM(B12:B26)</f>
        <v>521678</v>
      </c>
      <c r="C27" s="42"/>
      <c r="D27" s="42" t="n">
        <f aca="false">SUM(D12:D26)</f>
        <v>-133852.5</v>
      </c>
      <c r="E27" s="42"/>
      <c r="F27" s="42" t="n">
        <f aca="false">SUM(F12:F26)</f>
        <v>-48897.0244193548</v>
      </c>
      <c r="G27" s="42"/>
      <c r="H27" s="42" t="n">
        <f aca="false">SUM(H12:H26)</f>
        <v>-182749.524419355</v>
      </c>
      <c r="I27" s="42"/>
      <c r="J27" s="43" t="n">
        <f aca="false">SUM(J12:J26)</f>
        <v>338926.475580645</v>
      </c>
      <c r="K27" s="42"/>
      <c r="L27" s="42" t="n">
        <f aca="false">SUM(L12:L26)</f>
        <v>322207</v>
      </c>
      <c r="M27" s="42"/>
      <c r="N27" s="42" t="n">
        <f aca="false">SUM(N12:N26)</f>
        <v>199471</v>
      </c>
      <c r="O27" s="42"/>
      <c r="P27" s="42" t="n">
        <f aca="false">SUM(P12:P26)</f>
        <v>50838.9713370968</v>
      </c>
      <c r="Q27" s="42"/>
      <c r="R27" s="42" t="n">
        <f aca="false">SUM(R12:R26)</f>
        <v>88616.5042435484</v>
      </c>
    </row>
    <row r="28" customFormat="false" ht="13.5" hidden="false" customHeight="false" outlineLevel="0" collapsed="false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 customFormat="false" ht="12.75" hidden="false" customHeight="false" outlineLevel="0" collapsed="false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5" t="n">
        <f aca="false">J27-N27-F17-P27</f>
        <v>97193.3512435484</v>
      </c>
      <c r="T29" s="0" t="s">
        <v>90</v>
      </c>
    </row>
    <row r="30" customFormat="false" ht="18" hidden="false" customHeight="false" outlineLevel="0" collapsed="false">
      <c r="A30" s="4" t="s">
        <v>91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V30" s="0" t="n">
        <v>42762</v>
      </c>
      <c r="W30" s="0" t="n">
        <v>7000</v>
      </c>
      <c r="X30" s="0" t="n">
        <f aca="false">W30/W34</f>
        <v>0.166666666666667</v>
      </c>
      <c r="Y30" s="0" t="n">
        <f aca="false">W30/12000</f>
        <v>0.583333333333333</v>
      </c>
    </row>
    <row r="31" customFormat="false" ht="18" hidden="false" customHeight="false" outlineLevel="0" collapsed="false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</row>
    <row r="32" customFormat="false" ht="12.75" hidden="false" customHeight="false" outlineLevel="0" collapsed="false">
      <c r="A32" s="32" t="s">
        <v>92</v>
      </c>
      <c r="G32" s="32" t="s">
        <v>93</v>
      </c>
      <c r="S32" s="30"/>
      <c r="W32" s="0" t="n">
        <v>30000</v>
      </c>
      <c r="X32" s="0" t="n">
        <f aca="false">W32/W34</f>
        <v>0.714285714285714</v>
      </c>
    </row>
    <row r="33" customFormat="false" ht="12.75" hidden="false" customHeight="false" outlineLevel="0" collapsed="false">
      <c r="A33" s="0" t="s">
        <v>94</v>
      </c>
      <c r="G33" s="0" t="s">
        <v>95</v>
      </c>
      <c r="W33" s="27" t="n">
        <v>5000</v>
      </c>
      <c r="X33" s="0" t="n">
        <f aca="false">W33/W34</f>
        <v>0.119047619047619</v>
      </c>
      <c r="Y33" s="0" t="n">
        <f aca="false">W33/12000</f>
        <v>0.416666666666667</v>
      </c>
    </row>
    <row r="34" customFormat="false" ht="12.75" hidden="false" customHeight="false" outlineLevel="0" collapsed="false">
      <c r="A34" s="0" t="s">
        <v>96</v>
      </c>
      <c r="G34" s="0" t="s">
        <v>97</v>
      </c>
      <c r="W34" s="0" t="n">
        <f aca="false">SUM(W30:W33)</f>
        <v>42000</v>
      </c>
    </row>
    <row r="35" customFormat="false" ht="12.75" hidden="false" customHeight="false" outlineLevel="0" collapsed="false">
      <c r="A35" s="0" t="s">
        <v>98</v>
      </c>
      <c r="G35" s="0" t="s">
        <v>99</v>
      </c>
      <c r="X35" s="0" t="n">
        <f aca="false">X30+X33</f>
        <v>0.285714285714286</v>
      </c>
    </row>
    <row r="36" customFormat="false" ht="12.75" hidden="false" customHeight="false" outlineLevel="0" collapsed="false">
      <c r="A36" s="0" t="s">
        <v>118</v>
      </c>
      <c r="H36" s="0" t="s">
        <v>101</v>
      </c>
    </row>
    <row r="37" customFormat="false" ht="12.75" hidden="false" customHeight="false" outlineLevel="0" collapsed="false">
      <c r="G37" s="0" t="s">
        <v>102</v>
      </c>
    </row>
    <row r="38" customFormat="false" ht="12.75" hidden="false" customHeight="false" outlineLevel="0" collapsed="false">
      <c r="A38" s="0" t="s">
        <v>103</v>
      </c>
      <c r="H38" s="0" t="s">
        <v>101</v>
      </c>
    </row>
    <row r="39" customFormat="false" ht="12.75" hidden="false" customHeight="false" outlineLevel="0" collapsed="false">
      <c r="A39" s="0" t="s">
        <v>104</v>
      </c>
    </row>
    <row r="40" customFormat="false" ht="12.75" hidden="false" customHeight="false" outlineLevel="0" collapsed="false">
      <c r="A40" s="0" t="s">
        <v>105</v>
      </c>
      <c r="G40" s="32" t="s">
        <v>106</v>
      </c>
    </row>
    <row r="41" customFormat="false" ht="12.75" hidden="false" customHeight="false" outlineLevel="0" collapsed="false">
      <c r="A41" s="0" t="s">
        <v>41</v>
      </c>
      <c r="G41" s="0" t="s">
        <v>107</v>
      </c>
      <c r="L41" s="30" t="n">
        <v>100250</v>
      </c>
      <c r="N41" s="0" t="s">
        <v>108</v>
      </c>
    </row>
    <row r="42" customFormat="false" ht="12.75" hidden="false" customHeight="false" outlineLevel="0" collapsed="false">
      <c r="G42" s="0" t="s">
        <v>109</v>
      </c>
      <c r="L42" s="30" t="n">
        <f aca="false">15000+36500+92290</f>
        <v>143790</v>
      </c>
      <c r="N42" s="0" t="s">
        <v>110</v>
      </c>
    </row>
    <row r="43" customFormat="false" ht="12.75" hidden="false" customHeight="false" outlineLevel="0" collapsed="false">
      <c r="L43" s="30"/>
    </row>
    <row r="44" customFormat="false" ht="12.75" hidden="false" customHeight="false" outlineLevel="0" collapsed="false">
      <c r="A44" s="34" t="s">
        <v>111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46"/>
    </row>
    <row r="46" customFormat="false" ht="12.75" hidden="false" customHeight="false" outlineLevel="0" collapsed="false">
      <c r="A46" s="47"/>
      <c r="B46" s="47"/>
      <c r="C46" s="47"/>
      <c r="D46" s="47"/>
      <c r="E46" s="47"/>
    </row>
    <row r="47" customFormat="false" ht="12.75" hidden="false" customHeight="false" outlineLevel="0" collapsed="false">
      <c r="A47" s="48" t="s">
        <v>112</v>
      </c>
      <c r="B47" s="49"/>
      <c r="C47" s="49"/>
      <c r="D47" s="47"/>
      <c r="E47" s="47"/>
    </row>
    <row r="48" customFormat="false" ht="12.75" hidden="false" customHeight="false" outlineLevel="0" collapsed="false">
      <c r="A48" s="50" t="s">
        <v>113</v>
      </c>
      <c r="B48" s="51" t="n">
        <f aca="false">F17*Y33</f>
        <v>-3573.68625</v>
      </c>
      <c r="C48" s="49"/>
      <c r="D48" s="47"/>
    </row>
    <row r="49" customFormat="false" ht="12.75" hidden="false" customHeight="false" outlineLevel="0" collapsed="false">
      <c r="A49" s="50" t="s">
        <v>114</v>
      </c>
      <c r="B49" s="52" t="n">
        <f aca="false">F17*Y30</f>
        <v>-5003.16075</v>
      </c>
      <c r="C49" s="49"/>
      <c r="F49" s="30"/>
    </row>
    <row r="50" customFormat="false" ht="12.75" hidden="false" customHeight="false" outlineLevel="0" collapsed="false">
      <c r="B50" s="30"/>
    </row>
    <row r="51" customFormat="false" ht="12.75" hidden="false" customHeight="false" outlineLevel="0" collapsed="false">
      <c r="A51" s="5" t="n">
        <v>4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3" customFormat="false" ht="12.75" hidden="false" customHeight="false" outlineLevel="0" collapsed="false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</sheetData>
  <mergeCells count="6">
    <mergeCell ref="A2:R2"/>
    <mergeCell ref="A3:R3"/>
    <mergeCell ref="A4:R4"/>
    <mergeCell ref="A30:R30"/>
    <mergeCell ref="A51:R51"/>
    <mergeCell ref="A53:R5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C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7" activeCellId="0" sqref="I27:I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4" min="2" style="0" width="9.85"/>
    <col collapsed="false" customWidth="true" hidden="false" outlineLevel="0" max="7" min="5" style="0" width="10.71"/>
    <col collapsed="false" customWidth="true" hidden="false" outlineLevel="0" max="8" min="8" style="0" width="13.14"/>
    <col collapsed="false" customWidth="true" hidden="false" outlineLevel="0" max="9" min="9" style="0" width="11.99"/>
  </cols>
  <sheetData>
    <row r="2" customFormat="false" ht="12.75" hidden="false" customHeight="false" outlineLevel="0" collapsed="false">
      <c r="A2" s="31"/>
    </row>
    <row r="3" customFormat="false" ht="12.75" hidden="false" customHeight="false" outlineLevel="0" collapsed="false">
      <c r="A3" s="53" t="s">
        <v>119</v>
      </c>
      <c r="B3" s="53"/>
      <c r="C3" s="53"/>
      <c r="D3" s="53"/>
      <c r="E3" s="53"/>
      <c r="F3" s="53"/>
      <c r="G3" s="53"/>
      <c r="H3" s="53"/>
    </row>
    <row r="4" customFormat="false" ht="12.75" hidden="false" customHeight="false" outlineLevel="0" collapsed="false">
      <c r="A4" s="53"/>
      <c r="B4" s="53"/>
      <c r="C4" s="53"/>
      <c r="D4" s="53"/>
      <c r="E4" s="53"/>
      <c r="F4" s="53"/>
      <c r="G4" s="53"/>
      <c r="H4" s="53"/>
    </row>
    <row r="5" customFormat="false" ht="18" hidden="false" customHeight="false" outlineLevel="0" collapsed="false">
      <c r="A5" s="4" t="s">
        <v>120</v>
      </c>
      <c r="B5" s="4"/>
      <c r="C5" s="4"/>
      <c r="D5" s="4"/>
      <c r="E5" s="4"/>
      <c r="F5" s="4"/>
      <c r="G5" s="4"/>
      <c r="H5" s="4"/>
    </row>
    <row r="6" customFormat="false" ht="15.75" hidden="false" customHeight="false" outlineLevel="0" collapsed="false">
      <c r="A6" s="7" t="s">
        <v>121</v>
      </c>
      <c r="B6" s="7"/>
      <c r="C6" s="7"/>
      <c r="D6" s="7"/>
      <c r="E6" s="7"/>
      <c r="F6" s="7"/>
      <c r="G6" s="7"/>
      <c r="H6" s="7"/>
    </row>
    <row r="7" customFormat="false" ht="12.75" hidden="false" customHeight="false" outlineLevel="0" collapsed="false">
      <c r="A7" s="54" t="s">
        <v>0</v>
      </c>
      <c r="B7" s="54"/>
      <c r="C7" s="54"/>
      <c r="D7" s="54"/>
      <c r="E7" s="54"/>
      <c r="F7" s="54"/>
      <c r="G7" s="54"/>
      <c r="H7" s="54"/>
    </row>
    <row r="8" customFormat="false" ht="12.75" hidden="false" customHeight="false" outlineLevel="0" collapsed="false">
      <c r="A8" s="55"/>
      <c r="B8" s="55"/>
      <c r="C8" s="55"/>
      <c r="D8" s="55"/>
      <c r="E8" s="55"/>
      <c r="F8" s="55"/>
      <c r="G8" s="55"/>
      <c r="H8" s="55"/>
    </row>
    <row r="9" customFormat="false" ht="12.75" hidden="false" customHeight="false" outlineLevel="0" collapsed="false">
      <c r="A9" s="56" t="s">
        <v>122</v>
      </c>
      <c r="B9" s="57" t="n">
        <v>36982</v>
      </c>
      <c r="C9" s="57" t="n">
        <v>37012</v>
      </c>
      <c r="D9" s="57" t="n">
        <v>37043</v>
      </c>
      <c r="E9" s="57" t="n">
        <v>37073</v>
      </c>
      <c r="F9" s="57" t="n">
        <v>37104</v>
      </c>
      <c r="G9" s="57" t="n">
        <v>37135</v>
      </c>
      <c r="H9" s="57" t="n">
        <v>37165</v>
      </c>
      <c r="I9" s="58" t="s">
        <v>123</v>
      </c>
    </row>
    <row r="10" customFormat="false" ht="12.75" hidden="false" customHeight="false" outlineLevel="0" collapsed="false">
      <c r="A10" s="59" t="s">
        <v>124</v>
      </c>
      <c r="B10" s="60"/>
      <c r="C10" s="60"/>
      <c r="D10" s="60"/>
      <c r="E10" s="60"/>
      <c r="F10" s="61"/>
      <c r="G10" s="61"/>
      <c r="I10" s="62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customFormat="false" ht="12.75" hidden="false" customHeight="false" outlineLevel="0" collapsed="false">
      <c r="A11" s="63" t="s">
        <v>125</v>
      </c>
      <c r="B11" s="64" t="n">
        <v>26328504</v>
      </c>
      <c r="C11" s="64" t="n">
        <v>28623915</v>
      </c>
      <c r="D11" s="64" t="n">
        <v>27905721</v>
      </c>
      <c r="E11" s="65" t="n">
        <v>28571025</v>
      </c>
      <c r="F11" s="66" t="n">
        <v>28948482</v>
      </c>
      <c r="G11" s="67" t="n">
        <v>28208576</v>
      </c>
      <c r="H11" s="64" t="n">
        <v>28000000</v>
      </c>
      <c r="I11" s="64" t="n">
        <f aca="false">SUM(B11:H11)</f>
        <v>196586223</v>
      </c>
      <c r="J11" s="31"/>
    </row>
    <row r="12" customFormat="false" ht="12.75" hidden="false" customHeight="false" outlineLevel="0" collapsed="false">
      <c r="A12" s="23" t="s">
        <v>126</v>
      </c>
      <c r="B12" s="68" t="n">
        <v>0</v>
      </c>
      <c r="C12" s="68" t="n">
        <v>0</v>
      </c>
      <c r="D12" s="68" t="n">
        <v>0</v>
      </c>
      <c r="E12" s="69" t="n">
        <v>100000000</v>
      </c>
      <c r="F12" s="70" t="n">
        <v>400000000</v>
      </c>
      <c r="G12" s="71" t="n">
        <v>420000000</v>
      </c>
      <c r="H12" s="72" t="n">
        <v>420000000</v>
      </c>
      <c r="I12" s="73" t="n">
        <f aca="false">SUM(B12:H12)</f>
        <v>1340000000</v>
      </c>
      <c r="J12" s="31"/>
    </row>
    <row r="13" customFormat="false" ht="13.5" hidden="false" customHeight="false" outlineLevel="0" collapsed="false">
      <c r="A13" s="23" t="s">
        <v>127</v>
      </c>
      <c r="B13" s="74" t="n">
        <f aca="false">SUM(B11:B12)</f>
        <v>26328504</v>
      </c>
      <c r="C13" s="74" t="n">
        <f aca="false">SUM(C11:C12)</f>
        <v>28623915</v>
      </c>
      <c r="D13" s="74" t="n">
        <f aca="false">SUM(D11:D12)</f>
        <v>27905721</v>
      </c>
      <c r="E13" s="74" t="n">
        <f aca="false">SUM(E11:E12)</f>
        <v>128571025</v>
      </c>
      <c r="F13" s="74" t="n">
        <f aca="false">SUM(F11:F12)</f>
        <v>428948482</v>
      </c>
      <c r="G13" s="75" t="n">
        <f aca="false">SUM(G11:G12)</f>
        <v>448208576</v>
      </c>
      <c r="H13" s="75" t="n">
        <f aca="false">SUM(H11:H12)</f>
        <v>448000000</v>
      </c>
      <c r="I13" s="74" t="n">
        <f aca="false">SUM(I11:I12)</f>
        <v>1536586223</v>
      </c>
      <c r="J13" s="31"/>
    </row>
    <row r="14" customFormat="false" ht="13.5" hidden="false" customHeight="false" outlineLevel="0" collapsed="false">
      <c r="B14" s="31"/>
      <c r="C14" s="31"/>
      <c r="D14" s="31"/>
      <c r="E14" s="31"/>
      <c r="F14" s="31"/>
      <c r="G14" s="31"/>
      <c r="H14" s="31"/>
      <c r="I14" s="31"/>
      <c r="J14" s="31"/>
    </row>
    <row r="15" customFormat="false" ht="12.75" hidden="false" customHeight="false" outlineLevel="0" collapsed="false">
      <c r="A15" s="23" t="s">
        <v>128</v>
      </c>
      <c r="B15" s="76" t="n">
        <v>0.01</v>
      </c>
      <c r="C15" s="76" t="n">
        <v>0.01</v>
      </c>
      <c r="D15" s="76" t="n">
        <v>0.01</v>
      </c>
      <c r="E15" s="76" t="n">
        <v>0.01</v>
      </c>
      <c r="F15" s="76" t="n">
        <v>0.01</v>
      </c>
      <c r="G15" s="76" t="n">
        <v>0.01</v>
      </c>
      <c r="H15" s="76" t="n">
        <v>0.01</v>
      </c>
      <c r="I15" s="76"/>
      <c r="J15" s="31"/>
    </row>
    <row r="16" customFormat="false" ht="12.75" hidden="false" customHeight="false" outlineLevel="0" collapsed="false">
      <c r="A16" s="23"/>
      <c r="B16" s="77"/>
      <c r="C16" s="77"/>
      <c r="D16" s="77"/>
      <c r="E16" s="77"/>
      <c r="F16" s="77"/>
      <c r="G16" s="77"/>
      <c r="H16" s="31"/>
      <c r="I16" s="77"/>
      <c r="J16" s="31"/>
    </row>
    <row r="17" customFormat="false" ht="12.75" hidden="false" customHeight="false" outlineLevel="0" collapsed="false">
      <c r="A17" s="23" t="s">
        <v>129</v>
      </c>
      <c r="B17" s="77"/>
      <c r="C17" s="77"/>
      <c r="D17" s="77"/>
      <c r="E17" s="77"/>
      <c r="F17" s="77"/>
      <c r="G17" s="77"/>
      <c r="H17" s="31"/>
      <c r="I17" s="77"/>
      <c r="J17" s="31"/>
    </row>
    <row r="18" customFormat="false" ht="12.75" hidden="false" customHeight="false" outlineLevel="0" collapsed="false">
      <c r="A18" s="23" t="s">
        <v>130</v>
      </c>
      <c r="B18" s="78" t="n">
        <f aca="false">B11*B15</f>
        <v>263285.04</v>
      </c>
      <c r="C18" s="78" t="n">
        <f aca="false">C11*C15</f>
        <v>286239.15</v>
      </c>
      <c r="D18" s="78" t="n">
        <f aca="false">D11*D15</f>
        <v>279057.21</v>
      </c>
      <c r="E18" s="78" t="n">
        <f aca="false">E11*E15</f>
        <v>285710.25</v>
      </c>
      <c r="F18" s="78" t="n">
        <f aca="false">F11*F15</f>
        <v>289484.82</v>
      </c>
      <c r="G18" s="78" t="n">
        <f aca="false">G11*G15</f>
        <v>282085.76</v>
      </c>
      <c r="H18" s="79" t="n">
        <f aca="false">H11*H15</f>
        <v>280000</v>
      </c>
      <c r="I18" s="78" t="n">
        <f aca="false">SUM(B18:H18)</f>
        <v>1965862.23</v>
      </c>
      <c r="J18" s="31"/>
    </row>
    <row r="19" customFormat="false" ht="12.75" hidden="false" customHeight="false" outlineLevel="0" collapsed="false">
      <c r="A19" s="23" t="s">
        <v>131</v>
      </c>
      <c r="B19" s="80" t="n">
        <f aca="false">B12*B15</f>
        <v>0</v>
      </c>
      <c r="C19" s="80" t="n">
        <f aca="false">C12*C15</f>
        <v>0</v>
      </c>
      <c r="D19" s="80" t="n">
        <f aca="false">D12*D15</f>
        <v>0</v>
      </c>
      <c r="E19" s="68" t="n">
        <f aca="false">E12*E15</f>
        <v>1000000</v>
      </c>
      <c r="F19" s="68" t="n">
        <f aca="false">F12*F15</f>
        <v>4000000</v>
      </c>
      <c r="G19" s="68" t="n">
        <f aca="false">G12*G15</f>
        <v>4200000</v>
      </c>
      <c r="H19" s="81" t="n">
        <f aca="false">H12*H15</f>
        <v>4200000</v>
      </c>
      <c r="I19" s="80" t="n">
        <f aca="false">SUM(B19:H19)</f>
        <v>13400000</v>
      </c>
      <c r="J19" s="31"/>
    </row>
    <row r="20" customFormat="false" ht="13.5" hidden="false" customHeight="false" outlineLevel="0" collapsed="false">
      <c r="A20" s="23" t="s">
        <v>132</v>
      </c>
      <c r="B20" s="74" t="n">
        <f aca="false">SUM(B18:B19)</f>
        <v>263285.04</v>
      </c>
      <c r="C20" s="74" t="n">
        <f aca="false">SUM(C18:C19)</f>
        <v>286239.15</v>
      </c>
      <c r="D20" s="74" t="n">
        <f aca="false">SUM(D18:D19)</f>
        <v>279057.21</v>
      </c>
      <c r="E20" s="74" t="n">
        <f aca="false">SUM(E18:E19)</f>
        <v>1285710.25</v>
      </c>
      <c r="F20" s="74" t="n">
        <f aca="false">SUM(F18:F19)</f>
        <v>4289484.82</v>
      </c>
      <c r="G20" s="74" t="n">
        <f aca="false">SUM(G18:G19)</f>
        <v>4482085.76</v>
      </c>
      <c r="H20" s="74" t="n">
        <f aca="false">SUM(H18:H19)</f>
        <v>4480000</v>
      </c>
      <c r="I20" s="74" t="n">
        <f aca="false">SUM(I18:I19)</f>
        <v>15365862.23</v>
      </c>
      <c r="J20" s="31"/>
    </row>
    <row r="21" customFormat="false" ht="13.5" hidden="false" customHeight="false" outlineLevel="0" collapsed="false">
      <c r="B21" s="82"/>
      <c r="C21" s="82"/>
      <c r="D21" s="82"/>
      <c r="E21" s="82"/>
      <c r="F21" s="82"/>
      <c r="G21" s="82"/>
      <c r="H21" s="82"/>
      <c r="I21" s="37"/>
      <c r="J21" s="37"/>
    </row>
    <row r="22" customFormat="false" ht="12.75" hidden="false" customHeight="false" outlineLevel="0" collapsed="false">
      <c r="A22" s="83" t="s">
        <v>133</v>
      </c>
      <c r="B22" s="83"/>
      <c r="C22" s="83"/>
      <c r="D22" s="83"/>
      <c r="E22" s="83"/>
      <c r="F22" s="83"/>
      <c r="G22" s="84"/>
      <c r="H22" s="84"/>
      <c r="I22" s="85"/>
      <c r="J22" s="85"/>
      <c r="K22" s="85"/>
    </row>
    <row r="23" customFormat="false" ht="12.75" hidden="false" customHeight="false" outlineLevel="0" collapsed="false">
      <c r="A23" s="47"/>
      <c r="B23" s="86"/>
      <c r="C23" s="86"/>
      <c r="D23" s="86"/>
      <c r="E23" s="86"/>
      <c r="F23" s="86"/>
      <c r="G23" s="86"/>
      <c r="H23" s="86"/>
    </row>
    <row r="25" customFormat="false" ht="12.75" hidden="false" customHeight="false" outlineLevel="0" collapsed="false">
      <c r="A25" s="87"/>
      <c r="B25" s="87"/>
      <c r="C25" s="87"/>
      <c r="D25" s="87"/>
      <c r="E25" s="87"/>
      <c r="F25" s="87"/>
      <c r="G25" s="86"/>
      <c r="H25" s="88"/>
    </row>
    <row r="26" customFormat="false" ht="12.75" hidden="false" customHeight="false" outlineLevel="0" collapsed="false">
      <c r="A26" s="86"/>
      <c r="B26" s="86"/>
      <c r="C26" s="86"/>
      <c r="D26" s="86"/>
      <c r="E26" s="86"/>
      <c r="F26" s="86"/>
      <c r="G26" s="86"/>
      <c r="H26" s="86"/>
      <c r="I26" s="34"/>
      <c r="J26" s="34"/>
      <c r="K26" s="34"/>
      <c r="L26" s="34"/>
      <c r="M26" s="34"/>
      <c r="N26" s="34"/>
      <c r="O26" s="34"/>
    </row>
    <row r="27" customFormat="false" ht="12.75" hidden="false" customHeight="false" outlineLevel="0" collapsed="false">
      <c r="A27" s="56" t="s">
        <v>122</v>
      </c>
      <c r="B27" s="57" t="n">
        <v>37196</v>
      </c>
      <c r="C27" s="57" t="n">
        <v>37226</v>
      </c>
      <c r="D27" s="57" t="n">
        <v>37257</v>
      </c>
      <c r="E27" s="57" t="n">
        <v>37288</v>
      </c>
      <c r="F27" s="57" t="n">
        <v>37316</v>
      </c>
      <c r="G27" s="57" t="n">
        <v>37347</v>
      </c>
      <c r="H27" s="57" t="s">
        <v>134</v>
      </c>
      <c r="I27" s="58" t="s">
        <v>123</v>
      </c>
    </row>
    <row r="28" customFormat="false" ht="12.75" hidden="false" customHeight="false" outlineLevel="0" collapsed="false">
      <c r="A28" s="23" t="s">
        <v>135</v>
      </c>
      <c r="B28" s="89" t="n">
        <f aca="false">(464261.294596639)*1000</f>
        <v>464261294.596639</v>
      </c>
      <c r="C28" s="89" t="n">
        <f aca="false">(451557.517986859)*1000</f>
        <v>451557517.986859</v>
      </c>
      <c r="D28" s="89" t="n">
        <f aca="false">(418738.085922141)*1000</f>
        <v>418738085.922141</v>
      </c>
      <c r="E28" s="89" t="n">
        <f aca="false">(391856.457647704)*1000</f>
        <v>391856457.647704</v>
      </c>
      <c r="F28" s="89" t="n">
        <f aca="false">(424977.592050598)*1000</f>
        <v>424977592.050598</v>
      </c>
      <c r="G28" s="89" t="n">
        <f aca="false">(324345.911204521)*1000</f>
        <v>324345911.204521</v>
      </c>
      <c r="H28" s="89" t="n">
        <f aca="false">(2481036.18840071)*1000</f>
        <v>2481036188.40071</v>
      </c>
      <c r="I28" s="89" t="n">
        <f aca="false">SUM(B28:H28)</f>
        <v>4956773047.80917</v>
      </c>
    </row>
    <row r="29" customFormat="false" ht="12.75" hidden="false" customHeight="false" outlineLevel="0" collapsed="false">
      <c r="B29" s="31"/>
      <c r="C29" s="31"/>
      <c r="D29" s="31"/>
      <c r="E29" s="31"/>
      <c r="F29" s="31"/>
      <c r="G29" s="31"/>
      <c r="H29" s="31"/>
      <c r="I29" s="31"/>
    </row>
    <row r="30" customFormat="false" ht="12.75" hidden="false" customHeight="false" outlineLevel="0" collapsed="false">
      <c r="A30" s="23" t="s">
        <v>128</v>
      </c>
      <c r="B30" s="76" t="n">
        <v>0.01</v>
      </c>
      <c r="C30" s="76" t="n">
        <v>0.01</v>
      </c>
      <c r="D30" s="76" t="n">
        <v>0.01</v>
      </c>
      <c r="E30" s="76" t="n">
        <v>0.01</v>
      </c>
      <c r="F30" s="76" t="n">
        <v>0.01</v>
      </c>
      <c r="G30" s="76" t="n">
        <v>0.01</v>
      </c>
      <c r="H30" s="76" t="n">
        <v>0.01</v>
      </c>
      <c r="I30" s="76"/>
    </row>
    <row r="31" customFormat="false" ht="12.75" hidden="false" customHeight="false" outlineLevel="0" collapsed="false">
      <c r="B31" s="31"/>
      <c r="C31" s="31"/>
      <c r="D31" s="31"/>
      <c r="E31" s="31"/>
      <c r="F31" s="31"/>
      <c r="G31" s="31"/>
      <c r="H31" s="31"/>
      <c r="I31" s="31"/>
    </row>
    <row r="32" customFormat="false" ht="13.5" hidden="false" customHeight="false" outlineLevel="0" collapsed="false">
      <c r="A32" s="23" t="s">
        <v>129</v>
      </c>
      <c r="B32" s="74" t="n">
        <f aca="false">(B28*B30)</f>
        <v>4642612.94596639</v>
      </c>
      <c r="C32" s="90" t="n">
        <f aca="false">(C28*C30)</f>
        <v>4515575.17986859</v>
      </c>
      <c r="D32" s="90" t="n">
        <f aca="false">(D28*D30)</f>
        <v>4187380.85922141</v>
      </c>
      <c r="E32" s="90" t="n">
        <f aca="false">(E28*E30)</f>
        <v>3918564.57647704</v>
      </c>
      <c r="F32" s="90" t="n">
        <f aca="false">(F28*F30)</f>
        <v>4249775.92050598</v>
      </c>
      <c r="G32" s="90" t="n">
        <f aca="false">(G28*G30)</f>
        <v>3243459.11204521</v>
      </c>
      <c r="H32" s="90" t="n">
        <f aca="false">(H28*H30)</f>
        <v>24810361.8840071</v>
      </c>
      <c r="I32" s="74" t="n">
        <f aca="false">SUM(B32:H32)</f>
        <v>49567730.4780917</v>
      </c>
    </row>
    <row r="33" customFormat="false" ht="13.5" hidden="false" customHeight="false" outlineLevel="0" collapsed="false"/>
    <row r="50" customFormat="false" ht="12.75" hidden="false" customHeight="false" outlineLevel="0" collapsed="false">
      <c r="A50" s="5" t="n">
        <v>5</v>
      </c>
      <c r="B50" s="5"/>
      <c r="C50" s="5"/>
      <c r="D50" s="5"/>
      <c r="E50" s="5"/>
      <c r="F50" s="5"/>
      <c r="G50" s="5"/>
      <c r="H50" s="5"/>
    </row>
  </sheetData>
  <mergeCells count="5">
    <mergeCell ref="A3:H4"/>
    <mergeCell ref="A5:H5"/>
    <mergeCell ref="A6:H6"/>
    <mergeCell ref="A7:H7"/>
    <mergeCell ref="A50:H5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7.7"/>
    <col collapsed="false" customWidth="true" hidden="false" outlineLevel="0" max="3" min="3" style="0" width="11.56"/>
    <col collapsed="false" customWidth="true" hidden="false" outlineLevel="0" max="6" min="4" style="0" width="12.14"/>
    <col collapsed="false" customWidth="true" hidden="false" outlineLevel="0" max="7" min="7" style="0" width="12.28"/>
    <col collapsed="false" customWidth="true" hidden="false" outlineLevel="0" max="8" min="8" style="0" width="12.85"/>
    <col collapsed="false" customWidth="true" hidden="false" outlineLevel="0" max="9" min="9" style="0" width="11.99"/>
    <col collapsed="false" customWidth="true" hidden="false" outlineLevel="0" max="10" min="10" style="0" width="17.7"/>
    <col collapsed="false" customWidth="true" hidden="false" outlineLevel="0" max="17" min="11" style="0" width="11.56"/>
    <col collapsed="false" customWidth="true" hidden="false" outlineLevel="0" max="18" min="18" style="0" width="11.28"/>
  </cols>
  <sheetData>
    <row r="1" customFormat="false" ht="12.75" hidden="false" customHeight="false" outlineLevel="0" collapsed="false">
      <c r="F1" s="91" t="s">
        <v>136</v>
      </c>
      <c r="G1" s="91"/>
      <c r="H1" s="91"/>
    </row>
    <row r="2" customFormat="false" ht="18" hidden="false" customHeight="false" outlineLevel="0" collapsed="false">
      <c r="A2" s="4" t="s">
        <v>137</v>
      </c>
      <c r="B2" s="4"/>
      <c r="C2" s="4"/>
      <c r="D2" s="4"/>
      <c r="E2" s="4"/>
      <c r="F2" s="4"/>
      <c r="G2" s="4"/>
      <c r="H2" s="4"/>
    </row>
    <row r="3" customFormat="false" ht="15.75" hidden="false" customHeight="false" outlineLevel="0" collapsed="false">
      <c r="A3" s="7" t="s">
        <v>138</v>
      </c>
      <c r="B3" s="7"/>
      <c r="C3" s="7"/>
      <c r="D3" s="7"/>
      <c r="E3" s="7"/>
      <c r="F3" s="7"/>
      <c r="G3" s="7"/>
      <c r="H3" s="7"/>
    </row>
    <row r="4" customFormat="false" ht="12.75" hidden="false" customHeight="false" outlineLevel="0" collapsed="false">
      <c r="A4" s="5" t="s">
        <v>121</v>
      </c>
      <c r="B4" s="5"/>
      <c r="C4" s="5"/>
      <c r="D4" s="5"/>
      <c r="E4" s="5"/>
      <c r="F4" s="5"/>
      <c r="G4" s="5"/>
      <c r="H4" s="5"/>
    </row>
    <row r="5" customFormat="false" ht="12.75" hidden="false" customHeight="false" outlineLevel="0" collapsed="false">
      <c r="B5" s="54"/>
      <c r="C5" s="54"/>
      <c r="D5" s="54"/>
      <c r="E5" s="54"/>
    </row>
    <row r="6" customFormat="false" ht="12.75" hidden="false" customHeight="false" outlineLevel="0" collapsed="false">
      <c r="B6" s="92" t="s">
        <v>122</v>
      </c>
      <c r="C6" s="93" t="n">
        <v>36982</v>
      </c>
      <c r="D6" s="93" t="n">
        <v>37012</v>
      </c>
      <c r="E6" s="93" t="n">
        <v>37043</v>
      </c>
      <c r="F6" s="93" t="n">
        <v>37073</v>
      </c>
      <c r="G6" s="94" t="n">
        <v>37104</v>
      </c>
      <c r="U6" s="6"/>
      <c r="V6" s="6"/>
      <c r="W6" s="6"/>
    </row>
    <row r="7" customFormat="false" ht="12.75" hidden="false" customHeight="false" outlineLevel="0" collapsed="false">
      <c r="B7" s="95" t="s">
        <v>139</v>
      </c>
      <c r="C7" s="96" t="n">
        <v>26328504</v>
      </c>
      <c r="D7" s="97" t="n">
        <v>28623915</v>
      </c>
      <c r="E7" s="98" t="n">
        <v>27905721</v>
      </c>
      <c r="F7" s="97" t="n">
        <v>28571025</v>
      </c>
      <c r="G7" s="98" t="n">
        <v>28948482</v>
      </c>
      <c r="H7" s="99"/>
    </row>
    <row r="8" customFormat="false" ht="12.75" hidden="false" customHeight="false" outlineLevel="0" collapsed="false">
      <c r="B8" s="100"/>
      <c r="C8" s="100"/>
      <c r="D8" s="100"/>
      <c r="E8" s="101"/>
      <c r="F8" s="100"/>
      <c r="G8" s="101"/>
      <c r="H8" s="99"/>
    </row>
    <row r="9" customFormat="false" ht="12.75" hidden="false" customHeight="false" outlineLevel="0" collapsed="false">
      <c r="B9" s="100" t="s">
        <v>140</v>
      </c>
      <c r="C9" s="102" t="n">
        <v>-1237814.12</v>
      </c>
      <c r="D9" s="102" t="n">
        <v>431748.57</v>
      </c>
      <c r="E9" s="103" t="n">
        <v>443761.35</v>
      </c>
      <c r="F9" s="102" t="n">
        <v>515068.13</v>
      </c>
      <c r="G9" s="103" t="n">
        <v>188203.88</v>
      </c>
    </row>
    <row r="10" customFormat="false" ht="12.75" hidden="false" customHeight="false" outlineLevel="0" collapsed="false">
      <c r="B10" s="104"/>
      <c r="C10" s="105"/>
      <c r="D10" s="105"/>
      <c r="E10" s="106"/>
      <c r="F10" s="105"/>
      <c r="G10" s="106"/>
    </row>
    <row r="11" customFormat="false" ht="12.75" hidden="false" customHeight="false" outlineLevel="0" collapsed="false">
      <c r="B11" s="100" t="s">
        <v>141</v>
      </c>
      <c r="C11" s="107" t="n">
        <f aca="false">C9/C7</f>
        <v>-0.0470142215448322</v>
      </c>
      <c r="D11" s="107" t="n">
        <f aca="false">D9/D7</f>
        <v>0.0150834911995791</v>
      </c>
      <c r="E11" s="108" t="n">
        <f aca="false">E9/E7</f>
        <v>0.0159021639326216</v>
      </c>
      <c r="F11" s="107" t="n">
        <f aca="false">F9/F7</f>
        <v>0.0180276391904036</v>
      </c>
      <c r="G11" s="108" t="n">
        <f aca="false">G9/G7</f>
        <v>0.00650133848123712</v>
      </c>
    </row>
    <row r="12" customFormat="false" ht="12.75" hidden="false" customHeight="false" outlineLevel="0" collapsed="false">
      <c r="B12" s="105"/>
      <c r="C12" s="109"/>
      <c r="D12" s="109"/>
      <c r="E12" s="110"/>
      <c r="F12" s="109"/>
      <c r="G12" s="111"/>
    </row>
    <row r="13" customFormat="false" ht="12.75" hidden="false" customHeight="false" outlineLevel="0" collapsed="false">
      <c r="B13" s="112" t="s">
        <v>142</v>
      </c>
      <c r="C13" s="113" t="n">
        <v>0.101309558644122</v>
      </c>
      <c r="D13" s="114" t="n">
        <v>0.0380484448056808</v>
      </c>
      <c r="E13" s="115" t="n">
        <v>0.0372064452303526</v>
      </c>
      <c r="F13" s="114" t="n">
        <v>0.035072969555695</v>
      </c>
      <c r="G13" s="115" t="n">
        <v>0.0460398472707481</v>
      </c>
    </row>
    <row r="14" customFormat="false" ht="12.75" hidden="false" customHeight="false" outlineLevel="0" collapsed="false">
      <c r="B14" s="112"/>
      <c r="C14" s="116"/>
      <c r="D14" s="116"/>
      <c r="E14" s="117"/>
      <c r="F14" s="116"/>
      <c r="G14" s="117"/>
    </row>
    <row r="15" customFormat="false" ht="12.75" hidden="false" customHeight="false" outlineLevel="0" collapsed="false">
      <c r="B15" s="100" t="s">
        <v>143</v>
      </c>
      <c r="C15" s="107" t="n">
        <f aca="false">C11+C13</f>
        <v>0.0542953370992898</v>
      </c>
      <c r="D15" s="107" t="n">
        <f aca="false">D11+D13</f>
        <v>0.0531319360052599</v>
      </c>
      <c r="E15" s="108" t="n">
        <f aca="false">E11+E13</f>
        <v>0.0531086091629742</v>
      </c>
      <c r="F15" s="107" t="n">
        <f aca="false">F11+F13</f>
        <v>0.0531006087460985</v>
      </c>
      <c r="G15" s="108" t="n">
        <f aca="false">G11+G13</f>
        <v>0.0525411857519852</v>
      </c>
    </row>
    <row r="16" customFormat="false" ht="12.75" hidden="false" customHeight="false" outlineLevel="0" collapsed="false">
      <c r="B16" s="105"/>
      <c r="C16" s="109"/>
      <c r="D16" s="109"/>
      <c r="E16" s="110"/>
      <c r="F16" s="109"/>
      <c r="G16" s="110"/>
    </row>
    <row r="17" customFormat="false" ht="12.75" hidden="false" customHeight="false" outlineLevel="0" collapsed="false">
      <c r="B17" s="100" t="s">
        <v>144</v>
      </c>
      <c r="C17" s="107" t="n">
        <v>0.02</v>
      </c>
      <c r="D17" s="107" t="n">
        <v>0.02</v>
      </c>
      <c r="E17" s="107" t="n">
        <v>0.02</v>
      </c>
      <c r="F17" s="107" t="n">
        <v>0.02</v>
      </c>
      <c r="G17" s="107" t="n">
        <v>0.02</v>
      </c>
      <c r="H17" s="105"/>
    </row>
    <row r="18" customFormat="false" ht="12.75" hidden="false" customHeight="false" outlineLevel="0" collapsed="false">
      <c r="B18" s="105"/>
      <c r="C18" s="109"/>
      <c r="D18" s="109"/>
      <c r="E18" s="110"/>
      <c r="F18" s="109"/>
      <c r="G18" s="110"/>
    </row>
    <row r="19" customFormat="false" ht="13.5" hidden="false" customHeight="false" outlineLevel="0" collapsed="false">
      <c r="B19" s="118" t="s">
        <v>145</v>
      </c>
      <c r="C19" s="119" t="n">
        <f aca="false">C15-C17</f>
        <v>0.0342953370992898</v>
      </c>
      <c r="D19" s="119" t="n">
        <f aca="false">D15-D17</f>
        <v>0.0331319360052599</v>
      </c>
      <c r="E19" s="120" t="n">
        <f aca="false">E15-E17</f>
        <v>0.0331086091629741</v>
      </c>
      <c r="F19" s="119" t="n">
        <f aca="false">F15-F17</f>
        <v>0.0331006087460985</v>
      </c>
      <c r="G19" s="120" t="n">
        <f aca="false">G15-G17</f>
        <v>0.0325411857519852</v>
      </c>
    </row>
    <row r="20" customFormat="false" ht="13.5" hidden="false" customHeight="false" outlineLevel="0" collapsed="false"/>
    <row r="21" customFormat="false" ht="12.75" hidden="false" customHeight="false" outlineLevel="0" collapsed="false">
      <c r="B21" s="121" t="s">
        <v>146</v>
      </c>
    </row>
    <row r="22" customFormat="false" ht="12.75" hidden="false" customHeight="false" outlineLevel="0" collapsed="false">
      <c r="B22" s="122" t="s">
        <v>122</v>
      </c>
      <c r="C22" s="57" t="n">
        <v>36982</v>
      </c>
      <c r="D22" s="57" t="n">
        <v>37012</v>
      </c>
      <c r="E22" s="57" t="n">
        <v>37043</v>
      </c>
      <c r="F22" s="57" t="n">
        <v>37073</v>
      </c>
      <c r="G22" s="57" t="n">
        <v>37104</v>
      </c>
      <c r="H22" s="58" t="s">
        <v>123</v>
      </c>
    </row>
    <row r="23" customFormat="false" ht="12.75" hidden="false" customHeight="false" outlineLevel="0" collapsed="false">
      <c r="B23" s="123" t="s">
        <v>146</v>
      </c>
      <c r="C23" s="59"/>
      <c r="D23" s="60"/>
      <c r="E23" s="60"/>
      <c r="F23" s="60"/>
      <c r="G23" s="61"/>
      <c r="H23" s="62"/>
    </row>
    <row r="24" customFormat="false" ht="12.75" hidden="false" customHeight="false" outlineLevel="0" collapsed="false">
      <c r="B24" s="124" t="s">
        <v>139</v>
      </c>
      <c r="C24" s="125" t="n">
        <v>28623915</v>
      </c>
      <c r="D24" s="125" t="n">
        <v>28623915</v>
      </c>
      <c r="E24" s="126" t="n">
        <v>27905721</v>
      </c>
      <c r="F24" s="97" t="n">
        <v>28571025</v>
      </c>
      <c r="G24" s="98" t="n">
        <v>28948482</v>
      </c>
      <c r="H24" s="125" t="n">
        <f aca="false">SUM(D24:G24)</f>
        <v>114049143</v>
      </c>
    </row>
    <row r="25" customFormat="false" ht="12.75" hidden="false" customHeight="false" outlineLevel="0" collapsed="false">
      <c r="B25" s="101" t="s">
        <v>147</v>
      </c>
      <c r="C25" s="127" t="n">
        <v>0</v>
      </c>
      <c r="D25" s="127" t="n">
        <v>0</v>
      </c>
      <c r="E25" s="128" t="n">
        <v>0</v>
      </c>
      <c r="F25" s="129" t="n">
        <v>100000000</v>
      </c>
      <c r="G25" s="72" t="n">
        <v>400000000</v>
      </c>
      <c r="H25" s="130" t="n">
        <f aca="false">SUM(D25:G25)</f>
        <v>500000000</v>
      </c>
    </row>
    <row r="26" customFormat="false" ht="13.5" hidden="false" customHeight="false" outlineLevel="0" collapsed="false">
      <c r="B26" s="131" t="s">
        <v>127</v>
      </c>
      <c r="C26" s="132" t="n">
        <f aca="false">SUM(C24:C25)</f>
        <v>28623915</v>
      </c>
      <c r="D26" s="132" t="n">
        <f aca="false">SUM(D24:D25)</f>
        <v>28623915</v>
      </c>
      <c r="E26" s="133" t="n">
        <f aca="false">SUM(E24:E25)</f>
        <v>27905721</v>
      </c>
      <c r="F26" s="133" t="n">
        <f aca="false">SUM(F24:F25)</f>
        <v>128571025</v>
      </c>
      <c r="G26" s="133" t="n">
        <f aca="false">SUM(G24:G25)</f>
        <v>428948482</v>
      </c>
      <c r="H26" s="133" t="n">
        <f aca="false">SUM(H24:H25)</f>
        <v>614049143</v>
      </c>
    </row>
    <row r="27" customFormat="false" ht="13.5" hidden="false" customHeight="false" outlineLevel="0" collapsed="false"/>
    <row r="28" customFormat="false" ht="12.75" hidden="false" customHeight="false" outlineLevel="0" collapsed="false">
      <c r="B28" s="23" t="s">
        <v>148</v>
      </c>
      <c r="C28" s="134" t="n">
        <f aca="false">0.034-C13</f>
        <v>-0.067309558644122</v>
      </c>
      <c r="D28" s="134" t="n">
        <f aca="false">0.034-D13</f>
        <v>-0.00404844480568084</v>
      </c>
      <c r="E28" s="134" t="n">
        <f aca="false">0.034-E13</f>
        <v>-0.00320644523035259</v>
      </c>
      <c r="F28" s="134" t="n">
        <f aca="false">0.034-F13</f>
        <v>-0.00107296955569497</v>
      </c>
      <c r="G28" s="134" t="n">
        <f aca="false">0.034-G13</f>
        <v>-0.0120398472707481</v>
      </c>
      <c r="H28" s="23"/>
    </row>
    <row r="29" customFormat="false" ht="12.75" hidden="false" customHeight="false" outlineLevel="0" collapsed="false">
      <c r="B29" s="121" t="s">
        <v>149</v>
      </c>
      <c r="C29" s="23"/>
      <c r="D29" s="34"/>
      <c r="E29" s="34"/>
      <c r="F29" s="34"/>
      <c r="G29" s="34"/>
      <c r="H29" s="34"/>
    </row>
    <row r="30" customFormat="false" ht="12.75" hidden="false" customHeight="false" outlineLevel="0" collapsed="false">
      <c r="B30" s="122" t="s">
        <v>122</v>
      </c>
      <c r="C30" s="57" t="n">
        <v>36982</v>
      </c>
      <c r="D30" s="57" t="n">
        <v>37012</v>
      </c>
      <c r="E30" s="57" t="n">
        <v>37043</v>
      </c>
      <c r="F30" s="57" t="n">
        <v>37073</v>
      </c>
      <c r="G30" s="57" t="n">
        <v>37104</v>
      </c>
      <c r="H30" s="58" t="s">
        <v>123</v>
      </c>
    </row>
    <row r="31" customFormat="false" ht="12.75" hidden="false" customHeight="false" outlineLevel="0" collapsed="false">
      <c r="B31" s="135" t="s">
        <v>129</v>
      </c>
      <c r="C31" s="1"/>
      <c r="D31" s="34"/>
      <c r="E31" s="34"/>
      <c r="F31" s="34"/>
      <c r="G31" s="34"/>
      <c r="H31" s="34"/>
    </row>
    <row r="32" customFormat="false" ht="13.5" hidden="false" customHeight="false" outlineLevel="0" collapsed="false">
      <c r="B32" s="131" t="s">
        <v>132</v>
      </c>
      <c r="C32" s="136" t="n">
        <f aca="false">C28*C26</f>
        <v>-1926663.08531686</v>
      </c>
      <c r="D32" s="136" t="n">
        <f aca="false">D28*D26</f>
        <v>-115882.34</v>
      </c>
      <c r="E32" s="136" t="n">
        <f aca="false">E28*E26</f>
        <v>-89478.166</v>
      </c>
      <c r="F32" s="136" t="n">
        <f aca="false">F28*F26</f>
        <v>-137952.795569497</v>
      </c>
      <c r="G32" s="136" t="n">
        <f aca="false">G28*G26</f>
        <v>-5164474.21029923</v>
      </c>
      <c r="H32" s="136" t="n">
        <f aca="false">SUM(C32:G32)</f>
        <v>-7434450.59718559</v>
      </c>
    </row>
    <row r="33" customFormat="false" ht="13.5" hidden="false" customHeight="false" outlineLevel="0" collapsed="false"/>
    <row r="34" customFormat="false" ht="12.75" hidden="false" customHeight="false" outlineLevel="0" collapsed="false">
      <c r="B34" s="23" t="s">
        <v>148</v>
      </c>
      <c r="C34" s="134" t="n">
        <f aca="false">0.04-C13</f>
        <v>-0.061309558644122</v>
      </c>
      <c r="D34" s="134" t="n">
        <f aca="false">0.04-D13</f>
        <v>0.00195155519431916</v>
      </c>
      <c r="E34" s="134" t="n">
        <f aca="false">0.04-E13</f>
        <v>0.00279355476964741</v>
      </c>
      <c r="F34" s="134" t="n">
        <f aca="false">0.04-F13</f>
        <v>0.00492703044430503</v>
      </c>
      <c r="G34" s="134" t="n">
        <f aca="false">0.04-G13</f>
        <v>-0.00603984727074808</v>
      </c>
      <c r="H34" s="23"/>
    </row>
    <row r="35" customFormat="false" ht="12.75" hidden="false" customHeight="false" outlineLevel="0" collapsed="false">
      <c r="B35" s="137" t="s">
        <v>150</v>
      </c>
      <c r="C35" s="23"/>
      <c r="D35" s="34"/>
      <c r="E35" s="34"/>
      <c r="F35" s="34"/>
      <c r="G35" s="34"/>
      <c r="H35" s="34"/>
    </row>
    <row r="36" customFormat="false" ht="12.75" hidden="false" customHeight="false" outlineLevel="0" collapsed="false">
      <c r="B36" s="122" t="s">
        <v>122</v>
      </c>
      <c r="C36" s="57" t="n">
        <v>36982</v>
      </c>
      <c r="D36" s="57" t="n">
        <v>37012</v>
      </c>
      <c r="E36" s="57" t="n">
        <v>37043</v>
      </c>
      <c r="F36" s="57" t="n">
        <v>37073</v>
      </c>
      <c r="G36" s="57" t="n">
        <v>37104</v>
      </c>
      <c r="H36" s="58" t="s">
        <v>123</v>
      </c>
    </row>
    <row r="37" customFormat="false" ht="12.75" hidden="false" customHeight="false" outlineLevel="0" collapsed="false">
      <c r="B37" s="135" t="s">
        <v>129</v>
      </c>
      <c r="C37" s="1"/>
      <c r="D37" s="34"/>
      <c r="E37" s="34"/>
      <c r="F37" s="34"/>
      <c r="G37" s="34"/>
      <c r="H37" s="34"/>
    </row>
    <row r="38" customFormat="false" ht="13.5" hidden="false" customHeight="false" outlineLevel="0" collapsed="false">
      <c r="B38" s="131" t="s">
        <v>132</v>
      </c>
      <c r="C38" s="136" t="n">
        <f aca="false">C34*C26</f>
        <v>-1754919.59531686</v>
      </c>
      <c r="D38" s="136" t="n">
        <f aca="false">D34*D26</f>
        <v>55861.1500000001</v>
      </c>
      <c r="E38" s="136" t="n">
        <f aca="false">E34*E26</f>
        <v>77956.16</v>
      </c>
      <c r="F38" s="136" t="n">
        <f aca="false">F34*F26</f>
        <v>633473.354430503</v>
      </c>
      <c r="G38" s="136" t="n">
        <f aca="false">G34*G26</f>
        <v>-2590783.31829923</v>
      </c>
      <c r="H38" s="136" t="n">
        <f aca="false">SUM(C38:G38)</f>
        <v>-3578412.24918559</v>
      </c>
    </row>
    <row r="39" customFormat="false" ht="13.5" hidden="false" customHeight="false" outlineLevel="0" collapsed="false"/>
    <row r="40" customFormat="false" ht="12.75" hidden="false" customHeight="false" outlineLevel="0" collapsed="false">
      <c r="B40" s="23" t="s">
        <v>148</v>
      </c>
      <c r="C40" s="134" t="n">
        <f aca="false">0.054-C13</f>
        <v>-0.047309558644122</v>
      </c>
      <c r="D40" s="134" t="n">
        <f aca="false">0.054-D13</f>
        <v>0.0159515551943192</v>
      </c>
      <c r="E40" s="134" t="n">
        <f aca="false">0.054-E13</f>
        <v>0.0167935547696474</v>
      </c>
      <c r="F40" s="134" t="n">
        <f aca="false">0.054-F13</f>
        <v>0.018927030444305</v>
      </c>
      <c r="G40" s="134" t="n">
        <f aca="false">0.054-G13</f>
        <v>0.00796015272925192</v>
      </c>
      <c r="H40" s="23"/>
    </row>
    <row r="41" customFormat="false" ht="12.75" hidden="false" customHeight="false" outlineLevel="0" collapsed="false">
      <c r="B41" s="121" t="s">
        <v>151</v>
      </c>
      <c r="C41" s="23"/>
      <c r="D41" s="34"/>
      <c r="E41" s="34"/>
      <c r="F41" s="34"/>
      <c r="G41" s="34"/>
      <c r="H41" s="34"/>
    </row>
    <row r="42" customFormat="false" ht="12.75" hidden="false" customHeight="false" outlineLevel="0" collapsed="false">
      <c r="B42" s="122" t="s">
        <v>122</v>
      </c>
      <c r="C42" s="57" t="n">
        <v>36982</v>
      </c>
      <c r="D42" s="57" t="n">
        <v>37012</v>
      </c>
      <c r="E42" s="57" t="n">
        <v>37043</v>
      </c>
      <c r="F42" s="57" t="n">
        <v>37073</v>
      </c>
      <c r="G42" s="57" t="n">
        <v>37104</v>
      </c>
      <c r="H42" s="58" t="s">
        <v>123</v>
      </c>
    </row>
    <row r="43" customFormat="false" ht="12.75" hidden="false" customHeight="false" outlineLevel="0" collapsed="false">
      <c r="B43" s="135" t="s">
        <v>129</v>
      </c>
      <c r="C43" s="1"/>
      <c r="D43" s="34"/>
      <c r="E43" s="34"/>
      <c r="F43" s="34"/>
      <c r="G43" s="34"/>
      <c r="H43" s="34"/>
    </row>
    <row r="44" customFormat="false" ht="13.5" hidden="false" customHeight="false" outlineLevel="0" collapsed="false">
      <c r="B44" s="131" t="s">
        <v>132</v>
      </c>
      <c r="C44" s="136" t="n">
        <f aca="false">C40*C26</f>
        <v>-1354184.78531686</v>
      </c>
      <c r="D44" s="136" t="n">
        <f aca="false">D40*D26</f>
        <v>456595.96</v>
      </c>
      <c r="E44" s="136" t="n">
        <f aca="false">E40*E26</f>
        <v>468636.254</v>
      </c>
      <c r="F44" s="136" t="n">
        <f aca="false">F40*F26</f>
        <v>2433467.7044305</v>
      </c>
      <c r="G44" s="136" t="n">
        <f aca="false">G40*G26</f>
        <v>3414495.42970077</v>
      </c>
      <c r="H44" s="136" t="n">
        <f aca="false">SUM(C44:G44)</f>
        <v>5419010.56281441</v>
      </c>
    </row>
    <row r="45" customFormat="false" ht="13.5" hidden="false" customHeight="false" outlineLevel="0" collapsed="false"/>
    <row r="46" customFormat="false" ht="12.75" hidden="false" customHeight="false" outlineLevel="0" collapsed="false">
      <c r="D46" s="30"/>
      <c r="E46" s="30"/>
      <c r="F46" s="30"/>
      <c r="G46" s="30"/>
    </row>
    <row r="47" customFormat="false" ht="15.75" hidden="false" customHeight="false" outlineLevel="0" collapsed="false">
      <c r="A47" s="7" t="s">
        <v>152</v>
      </c>
      <c r="B47" s="7"/>
      <c r="C47" s="7"/>
      <c r="D47" s="7"/>
      <c r="E47" s="7"/>
      <c r="F47" s="7"/>
      <c r="G47" s="7"/>
      <c r="H47" s="7"/>
      <c r="I47" s="7"/>
    </row>
    <row r="48" customFormat="false" ht="12.75" hidden="false" customHeight="false" outlineLevel="0" collapsed="false">
      <c r="A48" s="5" t="s">
        <v>153</v>
      </c>
      <c r="B48" s="5"/>
      <c r="C48" s="5"/>
      <c r="D48" s="5"/>
      <c r="E48" s="5"/>
      <c r="F48" s="5"/>
      <c r="G48" s="5"/>
      <c r="H48" s="5"/>
      <c r="I48" s="5"/>
    </row>
    <row r="50" customFormat="false" ht="12.75" hidden="false" customHeight="false" outlineLevel="0" collapsed="false">
      <c r="A50" s="56" t="s">
        <v>122</v>
      </c>
      <c r="B50" s="57" t="n">
        <v>37135</v>
      </c>
      <c r="C50" s="57" t="n">
        <v>37165</v>
      </c>
      <c r="D50" s="57" t="n">
        <v>37196</v>
      </c>
      <c r="E50" s="57" t="n">
        <v>37226</v>
      </c>
      <c r="F50" s="57" t="n">
        <v>37257</v>
      </c>
      <c r="G50" s="57" t="n">
        <v>37288</v>
      </c>
      <c r="H50" s="57" t="n">
        <v>37316</v>
      </c>
      <c r="I50" s="58" t="s">
        <v>123</v>
      </c>
    </row>
    <row r="51" customFormat="false" ht="12.75" hidden="false" customHeight="false" outlineLevel="0" collapsed="false">
      <c r="A51" s="23" t="s">
        <v>135</v>
      </c>
      <c r="B51" s="89" t="n">
        <f aca="false">'One Cent Surcharge'!G13</f>
        <v>448208576</v>
      </c>
      <c r="C51" s="89" t="n">
        <f aca="false">'One Cent Surcharge'!H13</f>
        <v>448000000</v>
      </c>
      <c r="D51" s="89" t="n">
        <f aca="false">'One Cent Surcharge'!B28</f>
        <v>464261294.596639</v>
      </c>
      <c r="E51" s="89" t="n">
        <f aca="false">'One Cent Surcharge'!C28</f>
        <v>451557517.986859</v>
      </c>
      <c r="F51" s="89" t="n">
        <f aca="false">'One Cent Surcharge'!D28</f>
        <v>418738085.922141</v>
      </c>
      <c r="G51" s="89" t="n">
        <f aca="false">'One Cent Surcharge'!E28</f>
        <v>391856457.647704</v>
      </c>
      <c r="H51" s="89" t="n">
        <f aca="false">'One Cent Surcharge'!F28</f>
        <v>424977592.050598</v>
      </c>
      <c r="I51" s="89" t="n">
        <f aca="false">SUM(B51:H51)</f>
        <v>3047599524.20394</v>
      </c>
    </row>
    <row r="53" customFormat="false" ht="12.75" hidden="false" customHeight="false" outlineLevel="0" collapsed="false">
      <c r="A53" s="23" t="s">
        <v>154</v>
      </c>
      <c r="B53" s="138" t="n">
        <v>0.08</v>
      </c>
      <c r="C53" s="138" t="n">
        <v>0.08</v>
      </c>
      <c r="D53" s="138" t="n">
        <v>0.08</v>
      </c>
      <c r="E53" s="138" t="n">
        <v>0.08</v>
      </c>
      <c r="F53" s="138" t="n">
        <v>0.08</v>
      </c>
      <c r="G53" s="138" t="n">
        <v>0.08</v>
      </c>
      <c r="H53" s="138" t="n">
        <v>0.08</v>
      </c>
    </row>
    <row r="55" customFormat="false" ht="12.75" hidden="false" customHeight="false" outlineLevel="0" collapsed="false">
      <c r="A55" s="23" t="s">
        <v>155</v>
      </c>
      <c r="B55" s="138" t="n">
        <v>0.054</v>
      </c>
      <c r="C55" s="138" t="n">
        <v>0.054</v>
      </c>
      <c r="D55" s="138" t="n">
        <v>0.054</v>
      </c>
      <c r="E55" s="138" t="n">
        <v>0.054</v>
      </c>
      <c r="F55" s="138" t="n">
        <v>0.054</v>
      </c>
      <c r="G55" s="138" t="n">
        <v>0.054</v>
      </c>
      <c r="H55" s="138" t="n">
        <v>0.054</v>
      </c>
    </row>
    <row r="57" customFormat="false" ht="13.5" hidden="false" customHeight="false" outlineLevel="0" collapsed="false">
      <c r="A57" s="23" t="s">
        <v>156</v>
      </c>
      <c r="B57" s="139" t="n">
        <f aca="false">(B53-B55)*B51</f>
        <v>11653422.976</v>
      </c>
      <c r="C57" s="139" t="n">
        <f aca="false">(C53-C55)*C51</f>
        <v>11648000</v>
      </c>
      <c r="D57" s="139" t="n">
        <f aca="false">(D53-D55)*D51</f>
        <v>12070793.6595126</v>
      </c>
      <c r="E57" s="139" t="n">
        <f aca="false">(E53-E55)*E51</f>
        <v>11740495.4676583</v>
      </c>
      <c r="F57" s="139" t="n">
        <f aca="false">(F53-F55)*F51</f>
        <v>10887190.2339757</v>
      </c>
      <c r="G57" s="139" t="n">
        <f aca="false">(G53-G55)*G51</f>
        <v>10188267.8988403</v>
      </c>
      <c r="H57" s="139" t="n">
        <f aca="false">(H53-H55)*H51</f>
        <v>11049417.3933156</v>
      </c>
      <c r="I57" s="140" t="n">
        <f aca="false">SUM(B57:H57)</f>
        <v>79237587.6293025</v>
      </c>
    </row>
    <row r="58" customFormat="false" ht="13.5" hidden="false" customHeight="false" outlineLevel="0" collapsed="false"/>
    <row r="63" customFormat="false" ht="12.75" hidden="false" customHeight="false" outlineLevel="0" collapsed="false">
      <c r="A63" s="5" t="n">
        <v>6</v>
      </c>
      <c r="B63" s="5"/>
      <c r="C63" s="5"/>
      <c r="D63" s="5"/>
      <c r="E63" s="5"/>
      <c r="F63" s="5"/>
      <c r="G63" s="5"/>
      <c r="H63" s="5"/>
      <c r="I63" s="5"/>
    </row>
  </sheetData>
  <mergeCells count="7">
    <mergeCell ref="F1:H1"/>
    <mergeCell ref="A2:H2"/>
    <mergeCell ref="A3:H3"/>
    <mergeCell ref="A4:H4"/>
    <mergeCell ref="A47:I47"/>
    <mergeCell ref="A48:I48"/>
    <mergeCell ref="A63:I6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39" activeCellId="0" sqref="M3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8" activeCellId="0" sqref="D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3" min="3" style="0" width="2.7"/>
    <col collapsed="false" customWidth="true" hidden="false" outlineLevel="0" max="5" min="5" style="0" width="3.14"/>
    <col collapsed="false" customWidth="true" hidden="false" outlineLevel="0" max="6" min="6" style="0" width="12.56"/>
    <col collapsed="false" customWidth="true" hidden="false" outlineLevel="0" max="7" min="7" style="0" width="3.14"/>
    <col collapsed="false" customWidth="true" hidden="false" outlineLevel="0" max="8" min="8" style="0" width="11.99"/>
    <col collapsed="false" customWidth="true" hidden="false" outlineLevel="0" max="9" min="9" style="0" width="2.7"/>
    <col collapsed="false" customWidth="true" hidden="false" outlineLevel="0" max="11" min="11" style="0" width="2.7"/>
    <col collapsed="false" customWidth="true" hidden="false" outlineLevel="0" max="12" min="12" style="0" width="9.7"/>
    <col collapsed="false" customWidth="true" hidden="false" outlineLevel="0" max="13" min="13" style="0" width="2.7"/>
    <col collapsed="false" customWidth="true" hidden="false" outlineLevel="0" max="14" min="14" style="0" width="13.28"/>
    <col collapsed="false" customWidth="true" hidden="false" outlineLevel="0" max="15" min="15" style="0" width="2.7"/>
    <col collapsed="false" customWidth="true" hidden="false" outlineLevel="0" max="16" min="16" style="0" width="10.71"/>
    <col collapsed="false" customWidth="true" hidden="false" outlineLevel="0" max="17" min="17" style="0" width="2.7"/>
    <col collapsed="false" customWidth="true" hidden="false" outlineLevel="0" max="18" min="18" style="0" width="11.28"/>
    <col collapsed="false" customWidth="true" hidden="false" outlineLevel="0" max="21" min="21" style="0" width="13.41"/>
    <col collapsed="false" customWidth="true" hidden="false" outlineLevel="0" max="22" min="22" style="0" width="9.28"/>
    <col collapsed="false" customWidth="true" hidden="false" outlineLevel="0" max="23" min="23" style="0" width="14.28"/>
    <col collapsed="false" customWidth="true" hidden="false" outlineLevel="0" max="24" min="24" style="0" width="9.28"/>
    <col collapsed="false" customWidth="true" hidden="false" outlineLevel="0" max="25" min="25" style="0" width="12.28"/>
    <col collapsed="false" customWidth="true" hidden="false" outlineLevel="0" max="26" min="26" style="0" width="9.28"/>
  </cols>
  <sheetData>
    <row r="1" customFormat="false" ht="12.75" hidden="false" customHeight="false" outlineLevel="0" collapsed="false">
      <c r="A1" s="23" t="s">
        <v>35</v>
      </c>
    </row>
    <row r="2" customFormat="false" ht="12.75" hidden="false" customHeight="false" outlineLevel="0" collapsed="false">
      <c r="A2" s="5" t="s">
        <v>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customFormat="false" ht="12.75" hidden="false" customHeight="false" outlineLevel="0" collapsed="false">
      <c r="A3" s="5" t="s">
        <v>37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customFormat="false" ht="12.75" hidden="false" customHeight="false" outlineLevel="0" collapsed="false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customFormat="false" ht="12.75" hidden="false" customHeight="false" outlineLevel="0" collapsed="false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customFormat="false" ht="12.75" hidden="false" customHeight="false" outlineLevel="0" collapsed="false">
      <c r="A6" s="24"/>
      <c r="B6" s="24" t="s">
        <v>39</v>
      </c>
      <c r="C6" s="24"/>
      <c r="D6" s="24" t="s">
        <v>40</v>
      </c>
      <c r="E6" s="24" t="s">
        <v>41</v>
      </c>
      <c r="F6" s="24" t="s">
        <v>42</v>
      </c>
      <c r="G6" s="24" t="s">
        <v>41</v>
      </c>
      <c r="H6" s="24" t="s">
        <v>43</v>
      </c>
      <c r="I6" s="24"/>
      <c r="J6" s="24" t="s">
        <v>44</v>
      </c>
      <c r="K6" s="24" t="s">
        <v>41</v>
      </c>
      <c r="L6" s="24" t="s">
        <v>45</v>
      </c>
      <c r="M6" s="24" t="s">
        <v>41</v>
      </c>
      <c r="N6" s="24" t="s">
        <v>46</v>
      </c>
      <c r="O6" s="24"/>
      <c r="P6" s="24" t="s">
        <v>47</v>
      </c>
      <c r="Q6" s="24"/>
      <c r="R6" s="24" t="s">
        <v>48</v>
      </c>
      <c r="S6" s="24"/>
      <c r="U6" s="34" t="s">
        <v>85</v>
      </c>
      <c r="V6" s="34"/>
      <c r="W6" s="34"/>
      <c r="X6" s="34"/>
    </row>
    <row r="7" customFormat="false" ht="12.75" hidden="false" customHeight="false" outlineLevel="0" collapsed="false">
      <c r="A7" s="24"/>
      <c r="B7" s="24"/>
      <c r="C7" s="24"/>
      <c r="D7" s="24"/>
      <c r="E7" s="24"/>
      <c r="F7" s="24"/>
      <c r="G7" s="24"/>
      <c r="H7" s="24" t="s">
        <v>49</v>
      </c>
      <c r="I7" s="24"/>
      <c r="J7" s="24" t="s">
        <v>50</v>
      </c>
      <c r="K7" s="24"/>
      <c r="L7" s="24"/>
      <c r="M7" s="24"/>
      <c r="N7" s="24" t="s">
        <v>51</v>
      </c>
      <c r="O7" s="24"/>
      <c r="P7" s="24" t="s">
        <v>52</v>
      </c>
      <c r="Q7" s="24"/>
      <c r="R7" s="24" t="s">
        <v>53</v>
      </c>
      <c r="S7" s="24"/>
      <c r="U7" s="141" t="n">
        <v>36800</v>
      </c>
      <c r="V7" s="82" t="n">
        <v>-35285881.620877</v>
      </c>
      <c r="W7" s="142"/>
      <c r="X7" s="82" t="n">
        <v>-65075389.53</v>
      </c>
    </row>
    <row r="8" customFormat="false" ht="12.75" hidden="false" customHeight="false" outlineLevel="0" collapsed="false">
      <c r="A8" s="24" t="s">
        <v>54</v>
      </c>
      <c r="B8" s="26" t="n">
        <v>1</v>
      </c>
      <c r="C8" s="26"/>
      <c r="D8" s="24" t="s">
        <v>55</v>
      </c>
      <c r="E8" s="24"/>
      <c r="F8" s="24" t="s">
        <v>56</v>
      </c>
      <c r="G8" s="24"/>
      <c r="H8" s="24" t="s">
        <v>57</v>
      </c>
      <c r="I8" s="24"/>
      <c r="J8" s="24" t="s">
        <v>58</v>
      </c>
      <c r="K8" s="24"/>
      <c r="L8" s="24" t="s">
        <v>59</v>
      </c>
      <c r="M8" s="24"/>
      <c r="N8" s="24" t="s">
        <v>60</v>
      </c>
      <c r="O8" s="24"/>
      <c r="P8" s="24" t="s">
        <v>61</v>
      </c>
      <c r="Q8" s="24"/>
      <c r="R8" s="24" t="s">
        <v>62</v>
      </c>
      <c r="S8" s="24"/>
      <c r="U8" s="141" t="n">
        <v>36831</v>
      </c>
      <c r="V8" s="82" t="n">
        <v>-35289257.4225852</v>
      </c>
      <c r="W8" s="142"/>
      <c r="X8" s="82" t="n">
        <v>-87533996.1600001</v>
      </c>
    </row>
    <row r="9" customFormat="false" ht="12.75" hidden="false" customHeight="false" outlineLevel="0" collapsed="false">
      <c r="A9" s="27"/>
      <c r="B9" s="28" t="s">
        <v>63</v>
      </c>
      <c r="C9" s="28"/>
      <c r="D9" s="28" t="s">
        <v>8</v>
      </c>
      <c r="E9" s="28"/>
      <c r="F9" s="28" t="s">
        <v>64</v>
      </c>
      <c r="G9" s="28"/>
      <c r="H9" s="28" t="s">
        <v>65</v>
      </c>
      <c r="I9" s="28"/>
      <c r="J9" s="28" t="s">
        <v>63</v>
      </c>
      <c r="K9" s="28"/>
      <c r="L9" s="28" t="s">
        <v>66</v>
      </c>
      <c r="M9" s="28"/>
      <c r="N9" s="28" t="s">
        <v>67</v>
      </c>
      <c r="O9" s="28"/>
      <c r="P9" s="28" t="s">
        <v>68</v>
      </c>
      <c r="Q9" s="28"/>
      <c r="R9" s="28" t="s">
        <v>69</v>
      </c>
      <c r="S9" s="24"/>
      <c r="U9" s="141" t="n">
        <v>36861</v>
      </c>
      <c r="V9" s="82" t="n">
        <v>-7657083.82005369</v>
      </c>
      <c r="W9" s="142"/>
      <c r="X9" s="82" t="n">
        <v>-133279597.81</v>
      </c>
    </row>
    <row r="10" customFormat="false" ht="12.75" hidden="false" customHeight="false" outlineLevel="0" collapsed="false">
      <c r="B10" s="30"/>
      <c r="C10" s="30"/>
      <c r="D10" s="30"/>
      <c r="E10" s="30"/>
      <c r="F10" s="30"/>
      <c r="G10" s="30"/>
      <c r="H10" s="30"/>
      <c r="I10" s="30"/>
      <c r="J10" s="33"/>
      <c r="K10" s="30"/>
      <c r="L10" s="30"/>
      <c r="M10" s="30"/>
      <c r="N10" s="30"/>
      <c r="O10" s="30"/>
      <c r="P10" s="30"/>
      <c r="Q10" s="30"/>
      <c r="R10" s="30"/>
      <c r="T10" s="36"/>
      <c r="U10" s="141" t="n">
        <v>36892</v>
      </c>
      <c r="V10" s="143" t="n">
        <v>-10555471.4949771</v>
      </c>
      <c r="W10" s="144"/>
      <c r="X10" s="143" t="n">
        <v>-105161522.75</v>
      </c>
      <c r="Y10" s="39"/>
    </row>
    <row r="11" customFormat="false" ht="12.75" hidden="false" customHeight="false" outlineLevel="0" collapsed="false">
      <c r="A11" s="32" t="s">
        <v>157</v>
      </c>
      <c r="B11" s="30"/>
      <c r="C11" s="30"/>
      <c r="D11" s="30"/>
      <c r="E11" s="30"/>
      <c r="F11" s="30"/>
      <c r="G11" s="30"/>
      <c r="H11" s="30"/>
      <c r="I11" s="30"/>
      <c r="J11" s="33"/>
      <c r="K11" s="30"/>
      <c r="L11" s="30"/>
      <c r="M11" s="30"/>
      <c r="N11" s="30"/>
      <c r="O11" s="30"/>
      <c r="P11" s="30"/>
      <c r="Q11" s="30"/>
      <c r="R11" s="30"/>
      <c r="U11" s="141"/>
      <c r="V11" s="82" t="n">
        <f aca="false">SUM(V7:V10)</f>
        <v>-88787694.358493</v>
      </c>
      <c r="W11" s="142"/>
      <c r="X11" s="82" t="n">
        <f aca="false">SUM(X7:X10)</f>
        <v>-391050506.25</v>
      </c>
      <c r="Y11" s="34"/>
      <c r="Z11" s="34"/>
    </row>
    <row r="12" customFormat="false" ht="12.75" hidden="false" customHeight="false" outlineLevel="0" collapsed="false">
      <c r="A12" s="0" t="s">
        <v>80</v>
      </c>
      <c r="B12" s="30" t="n">
        <v>71957</v>
      </c>
      <c r="C12" s="30"/>
      <c r="D12" s="30" t="n">
        <f aca="false">-B12*0.12</f>
        <v>-8634.84</v>
      </c>
      <c r="E12" s="30" t="n">
        <v>-1</v>
      </c>
      <c r="F12" s="35" t="n">
        <f aca="false">-(B12+D12)*0.33</f>
        <v>-20896.3128</v>
      </c>
      <c r="G12" s="30" t="n">
        <v>-2</v>
      </c>
      <c r="H12" s="30" t="n">
        <f aca="false">D12+F12</f>
        <v>-29531.1528</v>
      </c>
      <c r="I12" s="30"/>
      <c r="J12" s="33" t="n">
        <f aca="false">SUM(B12:F12)</f>
        <v>42424.8472</v>
      </c>
      <c r="K12" s="30"/>
      <c r="L12" s="30" t="n">
        <v>17989</v>
      </c>
      <c r="M12" s="30"/>
      <c r="N12" s="30" t="n">
        <f aca="false">B12-L12</f>
        <v>53968</v>
      </c>
      <c r="O12" s="30"/>
      <c r="P12" s="30" t="n">
        <f aca="false">J12*0.15</f>
        <v>6363.72708</v>
      </c>
      <c r="Q12" s="30"/>
      <c r="R12" s="30" t="n">
        <f aca="false">J12-N12-P12</f>
        <v>-17906.87988</v>
      </c>
      <c r="Y12" s="142"/>
      <c r="Z12" s="145" t="n">
        <v>0.542230816837602</v>
      </c>
    </row>
    <row r="13" customFormat="false" ht="12.75" hidden="false" customHeight="false" outlineLevel="0" collapsed="false">
      <c r="B13" s="30"/>
      <c r="C13" s="30"/>
      <c r="D13" s="30"/>
      <c r="E13" s="30"/>
      <c r="F13" s="30"/>
      <c r="G13" s="30"/>
      <c r="H13" s="30"/>
      <c r="I13" s="30"/>
      <c r="J13" s="33"/>
      <c r="K13" s="30"/>
      <c r="L13" s="30"/>
      <c r="M13" s="30"/>
      <c r="N13" s="30"/>
      <c r="O13" s="30"/>
      <c r="P13" s="30"/>
      <c r="Q13" s="30"/>
      <c r="R13" s="30"/>
      <c r="Y13" s="142"/>
      <c r="Z13" s="145" t="n">
        <v>0.403149164560947</v>
      </c>
    </row>
    <row r="14" customFormat="false" ht="13.5" hidden="false" customHeight="false" outlineLevel="0" collapsed="false">
      <c r="B14" s="42" t="n">
        <f aca="false">SUM(B10:B13)</f>
        <v>71957</v>
      </c>
      <c r="C14" s="42"/>
      <c r="D14" s="42" t="n">
        <f aca="false">SUM(D10:D13)</f>
        <v>-8634.84</v>
      </c>
      <c r="E14" s="42"/>
      <c r="F14" s="42" t="n">
        <f aca="false">SUM(F10:F13)</f>
        <v>-20896.3128</v>
      </c>
      <c r="G14" s="42"/>
      <c r="H14" s="42" t="n">
        <f aca="false">SUM(H10:H13)</f>
        <v>-29531.1528</v>
      </c>
      <c r="I14" s="42"/>
      <c r="J14" s="43" t="n">
        <f aca="false">SUM(J10:J13)</f>
        <v>42424.8472</v>
      </c>
      <c r="K14" s="42"/>
      <c r="L14" s="42" t="n">
        <f aca="false">SUM(L10:L13)</f>
        <v>17989</v>
      </c>
      <c r="M14" s="42"/>
      <c r="N14" s="42" t="n">
        <f aca="false">SUM(N10:N13)</f>
        <v>53968</v>
      </c>
      <c r="O14" s="42"/>
      <c r="P14" s="42" t="n">
        <f aca="false">SUM(P10:P13)</f>
        <v>6363.72708</v>
      </c>
      <c r="Q14" s="42"/>
      <c r="R14" s="42" t="n">
        <f aca="false">SUM(R10:R13)</f>
        <v>-17906.87988</v>
      </c>
      <c r="Y14" s="142"/>
      <c r="Z14" s="145" t="n">
        <v>0.0574512824608717</v>
      </c>
    </row>
    <row r="15" customFormat="false" ht="13.5" hidden="false" customHeight="false" outlineLevel="0" collapsed="false">
      <c r="B15" s="44"/>
      <c r="C15" s="44"/>
      <c r="D15" s="44"/>
      <c r="E15" s="44"/>
      <c r="F15" s="44"/>
      <c r="G15" s="44"/>
      <c r="H15" s="44"/>
      <c r="I15" s="44"/>
      <c r="J15" s="13"/>
      <c r="K15" s="44"/>
      <c r="L15" s="44"/>
      <c r="M15" s="44"/>
      <c r="N15" s="44"/>
      <c r="O15" s="44"/>
      <c r="P15" s="44"/>
      <c r="Q15" s="44"/>
      <c r="R15" s="44"/>
      <c r="Y15" s="142"/>
      <c r="Z15" s="145"/>
    </row>
    <row r="16" customFormat="false" ht="12.75" hidden="false" customHeight="false" outlineLevel="0" collapsed="false">
      <c r="B16" s="44"/>
      <c r="C16" s="44"/>
      <c r="D16" s="44"/>
      <c r="E16" s="44"/>
      <c r="F16" s="44"/>
      <c r="G16" s="44"/>
      <c r="H16" s="44"/>
      <c r="I16" s="44"/>
      <c r="J16" s="13"/>
      <c r="K16" s="44"/>
      <c r="L16" s="44"/>
      <c r="M16" s="44"/>
      <c r="N16" s="44"/>
      <c r="O16" s="44"/>
      <c r="P16" s="44"/>
      <c r="Q16" s="44"/>
      <c r="R16" s="146" t="n">
        <f aca="false">J14-N14-F12-P14</f>
        <v>2989.43292000001</v>
      </c>
      <c r="Y16" s="142"/>
      <c r="Z16" s="145"/>
    </row>
    <row r="17" customFormat="false" ht="12.75" hidden="false" customHeight="false" outlineLevel="0" collapsed="false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0"/>
      <c r="Y17" s="142"/>
      <c r="Z17" s="145" t="n">
        <v>0.100373893596715</v>
      </c>
    </row>
    <row r="18" customFormat="false" ht="18" hidden="false" customHeight="false" outlineLevel="0" collapsed="false">
      <c r="A18" s="4" t="s">
        <v>91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Y18" s="142"/>
      <c r="Z18" s="145" t="n">
        <f aca="false">V11/X11</f>
        <v>0.227049173800917</v>
      </c>
    </row>
    <row r="19" customFormat="false" ht="18" hidden="false" customHeight="false" outlineLevel="0" collapsed="false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U19" s="141"/>
      <c r="V19" s="82"/>
      <c r="W19" s="142"/>
      <c r="X19" s="82"/>
      <c r="Y19" s="142"/>
      <c r="Z19" s="145"/>
    </row>
    <row r="20" customFormat="false" ht="12.75" hidden="false" customHeight="false" outlineLevel="0" collapsed="false">
      <c r="A20" s="32" t="s">
        <v>92</v>
      </c>
      <c r="G20" s="32" t="s">
        <v>93</v>
      </c>
    </row>
    <row r="21" customFormat="false" ht="12.75" hidden="false" customHeight="false" outlineLevel="0" collapsed="false">
      <c r="A21" s="0" t="s">
        <v>158</v>
      </c>
      <c r="G21" s="0" t="s">
        <v>159</v>
      </c>
      <c r="U21" s="34" t="s">
        <v>160</v>
      </c>
      <c r="V21" s="147" t="n">
        <v>3259</v>
      </c>
      <c r="W21" s="0" t="n">
        <f aca="false">V21*Z12</f>
        <v>1767.13023207375</v>
      </c>
    </row>
    <row r="22" customFormat="false" ht="12.75" hidden="false" customHeight="false" outlineLevel="0" collapsed="false">
      <c r="A22" s="0" t="s">
        <v>161</v>
      </c>
      <c r="U22" s="34" t="s">
        <v>162</v>
      </c>
      <c r="V22" s="147" t="n">
        <v>7802</v>
      </c>
      <c r="W22" s="0" t="n">
        <f aca="false">V22*Z13</f>
        <v>3145.36978190451</v>
      </c>
    </row>
    <row r="23" customFormat="false" ht="12.75" hidden="false" customHeight="false" outlineLevel="0" collapsed="false">
      <c r="A23" s="0" t="s">
        <v>163</v>
      </c>
      <c r="U23" s="34" t="s">
        <v>164</v>
      </c>
      <c r="V23" s="147" t="n">
        <v>45152</v>
      </c>
      <c r="W23" s="0" t="n">
        <f aca="false">V23*Z14</f>
        <v>2594.04030567328</v>
      </c>
    </row>
    <row r="24" customFormat="false" ht="12.75" hidden="false" customHeight="false" outlineLevel="0" collapsed="false">
      <c r="A24" s="0" t="s">
        <v>165</v>
      </c>
      <c r="U24" s="34" t="s">
        <v>166</v>
      </c>
      <c r="V24" s="147" t="n">
        <v>10737</v>
      </c>
      <c r="W24" s="0" t="n">
        <f aca="false">V24*Z17</f>
        <v>1077.71449554793</v>
      </c>
    </row>
    <row r="25" customFormat="false" ht="12.75" hidden="false" customHeight="false" outlineLevel="0" collapsed="false">
      <c r="D25" s="47"/>
      <c r="U25" s="34" t="s">
        <v>167</v>
      </c>
      <c r="V25" s="148" t="n">
        <v>4358</v>
      </c>
      <c r="W25" s="27" t="n">
        <v>0</v>
      </c>
    </row>
    <row r="26" customFormat="false" ht="12.75" hidden="false" customHeight="false" outlineLevel="0" collapsed="false">
      <c r="D26" s="47"/>
      <c r="V26" s="31" t="n">
        <f aca="false">SUM(V21:V25)</f>
        <v>71308</v>
      </c>
      <c r="W26" s="149" t="n">
        <f aca="false">SUM(W21:W25)</f>
        <v>8584.25481519947</v>
      </c>
      <c r="Y26" s="0" t="n">
        <f aca="false">W26/V26</f>
        <v>0.120382773534519</v>
      </c>
    </row>
    <row r="27" customFormat="false" ht="12.75" hidden="false" customHeight="false" outlineLevel="0" collapsed="false">
      <c r="A27" s="49" t="s">
        <v>168</v>
      </c>
      <c r="B27" s="49"/>
      <c r="C27" s="49"/>
      <c r="D27" s="47"/>
    </row>
    <row r="28" customFormat="false" ht="12.75" hidden="false" customHeight="false" outlineLevel="0" collapsed="false">
      <c r="D28" s="30"/>
      <c r="G28" s="32"/>
      <c r="L28" s="30"/>
    </row>
    <row r="30" customFormat="false" ht="12.75" hidden="false" customHeight="false" outlineLevel="0" collapsed="false">
      <c r="L30" s="30"/>
    </row>
    <row r="32" customFormat="false" ht="12.75" hidden="false" customHeight="false" outlineLevel="0" collapsed="false">
      <c r="F32" s="30"/>
    </row>
    <row r="34" customFormat="false" ht="12.75" hidden="false" customHeight="false" outlineLevel="0" collapsed="false">
      <c r="B34" s="30"/>
    </row>
    <row r="50" customFormat="false" ht="12.75" hidden="false" customHeight="false" outlineLevel="0" collapsed="false">
      <c r="A50" s="5" t="n">
        <v>8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</sheetData>
  <mergeCells count="5">
    <mergeCell ref="A2:R2"/>
    <mergeCell ref="A3:R3"/>
    <mergeCell ref="A4:R4"/>
    <mergeCell ref="A18:R18"/>
    <mergeCell ref="A50:R5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1:A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85"/>
    <col collapsed="false" customWidth="true" hidden="false" outlineLevel="0" max="3" min="3" style="0" width="8.41"/>
    <col collapsed="false" customWidth="true" hidden="false" outlineLevel="0" max="5" min="5" style="0" width="10.85"/>
    <col collapsed="false" customWidth="true" hidden="false" outlineLevel="0" max="8" min="8" style="0" width="33.85"/>
    <col collapsed="false" customWidth="true" hidden="false" outlineLevel="0" max="12" min="12" style="0" width="13.56"/>
    <col collapsed="false" customWidth="true" hidden="false" outlineLevel="0" max="13" min="13" style="0" width="11.28"/>
  </cols>
  <sheetData>
    <row r="1" customFormat="false" ht="12.75" hidden="false" customHeight="false" outlineLevel="0" collapsed="false">
      <c r="A1" s="5" t="s">
        <v>169</v>
      </c>
      <c r="B1" s="5"/>
      <c r="C1" s="5"/>
      <c r="D1" s="5"/>
      <c r="E1" s="5"/>
      <c r="F1" s="5"/>
      <c r="H1" s="5" t="s">
        <v>169</v>
      </c>
      <c r="I1" s="5"/>
      <c r="J1" s="5"/>
      <c r="K1" s="5"/>
      <c r="L1" s="5"/>
      <c r="M1" s="5"/>
    </row>
    <row r="2" customFormat="false" ht="12.75" hidden="false" customHeight="false" outlineLevel="0" collapsed="false">
      <c r="A2" s="5" t="s">
        <v>170</v>
      </c>
      <c r="B2" s="5"/>
      <c r="C2" s="5"/>
      <c r="D2" s="5"/>
      <c r="E2" s="5"/>
      <c r="F2" s="5"/>
      <c r="H2" s="5" t="s">
        <v>170</v>
      </c>
      <c r="I2" s="5"/>
      <c r="J2" s="5"/>
      <c r="K2" s="5"/>
      <c r="L2" s="5"/>
      <c r="M2" s="5"/>
    </row>
    <row r="3" customFormat="false" ht="12.75" hidden="false" customHeight="false" outlineLevel="0" collapsed="false">
      <c r="A3" s="5" t="s">
        <v>171</v>
      </c>
      <c r="B3" s="5"/>
      <c r="C3" s="5"/>
      <c r="D3" s="5"/>
      <c r="E3" s="5"/>
      <c r="F3" s="5"/>
      <c r="H3" s="5" t="s">
        <v>171</v>
      </c>
      <c r="I3" s="5"/>
      <c r="J3" s="5"/>
      <c r="K3" s="5"/>
      <c r="L3" s="5"/>
      <c r="M3" s="5"/>
    </row>
    <row r="4" customFormat="false" ht="12.75" hidden="false" customHeight="false" outlineLevel="0" collapsed="false">
      <c r="A4" s="5" t="s">
        <v>3</v>
      </c>
      <c r="B4" s="5"/>
      <c r="C4" s="5"/>
      <c r="D4" s="5"/>
      <c r="E4" s="5"/>
      <c r="F4" s="5"/>
      <c r="H4" s="5" t="s">
        <v>3</v>
      </c>
      <c r="I4" s="5"/>
      <c r="J4" s="5"/>
      <c r="K4" s="5"/>
      <c r="L4" s="5"/>
      <c r="M4" s="5"/>
    </row>
    <row r="5" customFormat="false" ht="12.75" hidden="false" customHeight="false" outlineLevel="0" collapsed="false">
      <c r="A5" s="24"/>
      <c r="B5" s="24"/>
      <c r="C5" s="24"/>
      <c r="D5" s="24"/>
      <c r="E5" s="24"/>
      <c r="F5" s="24"/>
    </row>
    <row r="6" customFormat="false" ht="15" hidden="false" customHeight="false" outlineLevel="0" collapsed="false">
      <c r="A6" s="150"/>
      <c r="B6" s="150" t="s">
        <v>172</v>
      </c>
      <c r="C6" s="150" t="s">
        <v>173</v>
      </c>
      <c r="D6" s="150" t="s">
        <v>174</v>
      </c>
      <c r="E6" s="150" t="s">
        <v>59</v>
      </c>
      <c r="F6" s="150" t="s">
        <v>175</v>
      </c>
      <c r="I6" s="150" t="s">
        <v>172</v>
      </c>
      <c r="J6" s="150" t="s">
        <v>173</v>
      </c>
      <c r="K6" s="150" t="s">
        <v>174</v>
      </c>
      <c r="L6" s="151" t="s">
        <v>176</v>
      </c>
      <c r="M6" s="150" t="s">
        <v>177</v>
      </c>
    </row>
    <row r="7" customFormat="false" ht="15" hidden="false" customHeight="false" outlineLevel="0" collapsed="false">
      <c r="A7" s="152" t="s">
        <v>178</v>
      </c>
      <c r="B7" s="152" t="s">
        <v>179</v>
      </c>
      <c r="C7" s="152" t="s">
        <v>180</v>
      </c>
      <c r="D7" s="153" t="s">
        <v>181</v>
      </c>
      <c r="E7" s="152" t="s">
        <v>68</v>
      </c>
      <c r="F7" s="154" t="s">
        <v>181</v>
      </c>
      <c r="H7" s="152" t="s">
        <v>178</v>
      </c>
      <c r="I7" s="152" t="s">
        <v>179</v>
      </c>
      <c r="J7" s="152" t="s">
        <v>180</v>
      </c>
      <c r="K7" s="153" t="s">
        <v>181</v>
      </c>
      <c r="L7" s="155" t="s">
        <v>182</v>
      </c>
      <c r="M7" s="154" t="s">
        <v>183</v>
      </c>
    </row>
    <row r="8" customFormat="false" ht="12.75" hidden="false" customHeight="false" outlineLevel="0" collapsed="false">
      <c r="A8" s="5" t="s">
        <v>184</v>
      </c>
      <c r="B8" s="5"/>
      <c r="C8" s="6"/>
      <c r="D8" s="6"/>
      <c r="E8" s="6"/>
      <c r="H8" s="5" t="s">
        <v>184</v>
      </c>
      <c r="I8" s="5"/>
      <c r="J8" s="6"/>
      <c r="K8" s="6"/>
    </row>
    <row r="9" customFormat="false" ht="12.75" hidden="false" customHeight="false" outlineLevel="0" collapsed="false">
      <c r="A9" s="32" t="s">
        <v>71</v>
      </c>
      <c r="B9" s="156" t="n">
        <f aca="false">'Legal Entity Summary'!B8</f>
        <v>403949</v>
      </c>
      <c r="C9" s="156"/>
      <c r="D9" s="156" t="n">
        <f aca="false">B9+C9</f>
        <v>403949</v>
      </c>
      <c r="E9" s="156" t="n">
        <f aca="false">'Legal Entity Summary'!C9</f>
        <v>242369.4</v>
      </c>
      <c r="F9" s="157" t="n">
        <f aca="false">D9-E9</f>
        <v>161579.6</v>
      </c>
      <c r="H9" s="32" t="s">
        <v>71</v>
      </c>
      <c r="I9" s="156" t="n">
        <f aca="false">B9</f>
        <v>403949</v>
      </c>
      <c r="J9" s="156"/>
      <c r="K9" s="156" t="n">
        <f aca="false">I9+J9</f>
        <v>403949</v>
      </c>
      <c r="L9" s="157" t="n">
        <f aca="false">K9*0.8</f>
        <v>323159.2</v>
      </c>
      <c r="M9" s="157" t="n">
        <f aca="false">K9*0.8</f>
        <v>323159.2</v>
      </c>
    </row>
    <row r="10" customFormat="false" ht="12.75" hidden="false" customHeight="false" outlineLevel="0" collapsed="false">
      <c r="A10" s="32" t="s">
        <v>185</v>
      </c>
      <c r="B10" s="156" t="n">
        <f aca="false">'Legal Entity Summary'!B18</f>
        <v>76600</v>
      </c>
      <c r="C10" s="156"/>
      <c r="D10" s="156" t="n">
        <f aca="false">B10+C10</f>
        <v>76600</v>
      </c>
      <c r="E10" s="156" t="n">
        <f aca="false">'Legal Entity Summary'!C18</f>
        <v>55838</v>
      </c>
      <c r="F10" s="157" t="n">
        <f aca="false">D10-E10</f>
        <v>20762</v>
      </c>
      <c r="H10" s="32" t="s">
        <v>185</v>
      </c>
      <c r="I10" s="156" t="n">
        <f aca="false">B10</f>
        <v>76600</v>
      </c>
      <c r="J10" s="156"/>
      <c r="K10" s="156" t="n">
        <f aca="false">I10+J10</f>
        <v>76600</v>
      </c>
      <c r="L10" s="157" t="n">
        <f aca="false">K10</f>
        <v>76600</v>
      </c>
      <c r="M10" s="31" t="n">
        <f aca="false">'Legal Entity Summary'!B12+'Legal Entity Summary'!B16</f>
        <v>42762</v>
      </c>
    </row>
    <row r="11" customFormat="false" ht="12.75" hidden="false" customHeight="false" outlineLevel="0" collapsed="false">
      <c r="A11" s="32" t="s">
        <v>186</v>
      </c>
      <c r="B11" s="156" t="n">
        <f aca="false">'Legal Entity Summary'!B22</f>
        <v>3482</v>
      </c>
      <c r="C11" s="156" t="n">
        <v>-3482</v>
      </c>
      <c r="D11" s="156" t="n">
        <f aca="false">B11+C11</f>
        <v>0</v>
      </c>
      <c r="E11" s="156" t="n">
        <f aca="false">'Legal Entity Summary'!C22</f>
        <v>0</v>
      </c>
      <c r="F11" s="157" t="n">
        <f aca="false">D11-E11</f>
        <v>0</v>
      </c>
      <c r="H11" s="32" t="s">
        <v>186</v>
      </c>
      <c r="I11" s="156" t="n">
        <f aca="false">B11</f>
        <v>3482</v>
      </c>
      <c r="J11" s="156" t="n">
        <v>-3482</v>
      </c>
      <c r="K11" s="156" t="n">
        <f aca="false">I11+J11</f>
        <v>0</v>
      </c>
      <c r="L11" s="157" t="n">
        <f aca="false">K11</f>
        <v>0</v>
      </c>
    </row>
    <row r="12" customFormat="false" ht="12.75" hidden="false" customHeight="false" outlineLevel="0" collapsed="false">
      <c r="A12" s="32" t="s">
        <v>187</v>
      </c>
      <c r="B12" s="156" t="n">
        <f aca="false">'Legal Entity Summary'!B34</f>
        <v>71957</v>
      </c>
      <c r="C12" s="156"/>
      <c r="D12" s="156" t="n">
        <f aca="false">B12+C12</f>
        <v>71957</v>
      </c>
      <c r="E12" s="156" t="n">
        <f aca="false">'Legal Entity Summary'!C34</f>
        <v>17989.25</v>
      </c>
      <c r="F12" s="157" t="n">
        <f aca="false">D12-E12</f>
        <v>53967.75</v>
      </c>
      <c r="H12" s="32" t="s">
        <v>187</v>
      </c>
      <c r="I12" s="156" t="n">
        <f aca="false">B12</f>
        <v>71957</v>
      </c>
      <c r="J12" s="156"/>
      <c r="K12" s="156" t="n">
        <f aca="false">I12+J12</f>
        <v>71957</v>
      </c>
      <c r="L12" s="157" t="n">
        <f aca="false">K12</f>
        <v>71957</v>
      </c>
      <c r="M12" s="157" t="n">
        <f aca="false">L12</f>
        <v>71957</v>
      </c>
    </row>
    <row r="13" customFormat="false" ht="12.75" hidden="false" customHeight="false" outlineLevel="0" collapsed="false">
      <c r="A13" s="32" t="s">
        <v>86</v>
      </c>
      <c r="B13" s="156" t="n">
        <f aca="false">'Legal Entity Summary'!B38</f>
        <v>25432</v>
      </c>
      <c r="C13" s="156" t="n">
        <v>-25432</v>
      </c>
      <c r="D13" s="156" t="n">
        <f aca="false">B13+C13</f>
        <v>0</v>
      </c>
      <c r="E13" s="156" t="n">
        <f aca="false">'Legal Entity Summary'!C38</f>
        <v>0</v>
      </c>
      <c r="F13" s="157" t="n">
        <f aca="false">D13-E13</f>
        <v>0</v>
      </c>
      <c r="H13" s="32" t="s">
        <v>86</v>
      </c>
      <c r="I13" s="156" t="n">
        <f aca="false">B13</f>
        <v>25432</v>
      </c>
      <c r="J13" s="156" t="n">
        <v>-25432</v>
      </c>
      <c r="K13" s="156" t="n">
        <f aca="false">I13+J13</f>
        <v>0</v>
      </c>
      <c r="L13" s="157" t="n">
        <f aca="false">K13</f>
        <v>0</v>
      </c>
    </row>
    <row r="14" customFormat="false" ht="12.75" hidden="false" customHeight="false" outlineLevel="0" collapsed="false">
      <c r="A14" s="32" t="s">
        <v>188</v>
      </c>
      <c r="B14" s="158" t="n">
        <f aca="false">'Legal Entity Summary'!B43</f>
        <v>98328</v>
      </c>
      <c r="C14" s="158" t="n">
        <f aca="false">-'Detail by Transaction Type'!B94</f>
        <v>-24138</v>
      </c>
      <c r="D14" s="158" t="n">
        <f aca="false">B14+C14</f>
        <v>74190</v>
      </c>
      <c r="E14" s="158" t="n">
        <f aca="false">'Legal Entity Summary'!C43</f>
        <v>24000</v>
      </c>
      <c r="F14" s="159" t="n">
        <f aca="false">D14-E14</f>
        <v>50190</v>
      </c>
      <c r="H14" s="32" t="s">
        <v>188</v>
      </c>
      <c r="I14" s="158" t="n">
        <f aca="false">B14</f>
        <v>98328</v>
      </c>
      <c r="J14" s="158" t="n">
        <f aca="false">C14</f>
        <v>-24138</v>
      </c>
      <c r="K14" s="158" t="n">
        <f aca="false">I14+J14</f>
        <v>74190</v>
      </c>
      <c r="L14" s="159" t="n">
        <f aca="false">K14</f>
        <v>74190</v>
      </c>
      <c r="M14" s="158" t="n">
        <f aca="false">63000</f>
        <v>63000</v>
      </c>
    </row>
    <row r="15" customFormat="false" ht="12.75" hidden="false" customHeight="false" outlineLevel="0" collapsed="false">
      <c r="B15" s="156" t="n">
        <f aca="false">SUM(B9:B14)</f>
        <v>679748</v>
      </c>
      <c r="C15" s="156" t="n">
        <f aca="false">SUM(C9:C14)</f>
        <v>-53052</v>
      </c>
      <c r="D15" s="156" t="n">
        <f aca="false">SUM(D9:D14)</f>
        <v>626696</v>
      </c>
      <c r="E15" s="156" t="n">
        <f aca="false">SUM(E9:E14)</f>
        <v>340196.65</v>
      </c>
      <c r="F15" s="157" t="n">
        <f aca="false">SUM(F9:F14)</f>
        <v>286499.35</v>
      </c>
      <c r="I15" s="156" t="n">
        <f aca="false">SUM(I9:I14)</f>
        <v>679748</v>
      </c>
      <c r="J15" s="156" t="n">
        <f aca="false">SUM(J9:J14)</f>
        <v>-53052</v>
      </c>
      <c r="K15" s="156" t="n">
        <f aca="false">SUM(K9:K14)</f>
        <v>626696</v>
      </c>
      <c r="L15" s="157" t="n">
        <f aca="false">SUM(L9:L14)</f>
        <v>545906.2</v>
      </c>
      <c r="M15" s="157" t="n">
        <f aca="false">SUM(M9:M14)</f>
        <v>500878.2</v>
      </c>
    </row>
    <row r="16" customFormat="false" ht="12.75" hidden="false" customHeight="false" outlineLevel="0" collapsed="false">
      <c r="B16" s="156"/>
      <c r="C16" s="156"/>
      <c r="D16" s="156"/>
      <c r="E16" s="156"/>
      <c r="F16" s="156"/>
      <c r="I16" s="156"/>
      <c r="J16" s="156"/>
      <c r="K16" s="156"/>
    </row>
    <row r="17" customFormat="false" ht="12.75" hidden="false" customHeight="false" outlineLevel="0" collapsed="false">
      <c r="B17" s="156"/>
      <c r="C17" s="156"/>
      <c r="D17" s="156"/>
      <c r="E17" s="156"/>
      <c r="F17" s="156"/>
      <c r="I17" s="156"/>
      <c r="J17" s="156"/>
      <c r="K17" s="156"/>
    </row>
    <row r="18" customFormat="false" ht="12.75" hidden="false" customHeight="false" outlineLevel="0" collapsed="false">
      <c r="A18" s="24" t="s">
        <v>189</v>
      </c>
      <c r="B18" s="156"/>
      <c r="C18" s="156"/>
      <c r="D18" s="156"/>
      <c r="E18" s="156"/>
      <c r="F18" s="156"/>
      <c r="H18" s="24" t="s">
        <v>189</v>
      </c>
      <c r="I18" s="156"/>
      <c r="J18" s="156"/>
      <c r="K18" s="156"/>
    </row>
    <row r="19" customFormat="false" ht="12.75" hidden="false" customHeight="false" outlineLevel="0" collapsed="false">
      <c r="A19" s="32" t="s">
        <v>186</v>
      </c>
      <c r="B19" s="156" t="n">
        <v>-86113</v>
      </c>
      <c r="C19" s="156" t="n">
        <f aca="false">C15*-1</f>
        <v>53052</v>
      </c>
      <c r="D19" s="156" t="n">
        <f aca="false">B19+C19</f>
        <v>-33061</v>
      </c>
      <c r="E19" s="156"/>
      <c r="F19" s="156" t="n">
        <f aca="false">D19-E19</f>
        <v>-33061</v>
      </c>
      <c r="H19" s="32" t="s">
        <v>186</v>
      </c>
      <c r="I19" s="156" t="n">
        <v>-86113</v>
      </c>
      <c r="J19" s="156" t="n">
        <f aca="false">J15*-1</f>
        <v>53052</v>
      </c>
      <c r="K19" s="156" t="n">
        <f aca="false">I19+J19</f>
        <v>-33061</v>
      </c>
      <c r="L19" s="157" t="n">
        <f aca="false">K19</f>
        <v>-33061</v>
      </c>
      <c r="M19" s="157" t="n">
        <f aca="false">L19+(-125000+86113)</f>
        <v>-71948</v>
      </c>
    </row>
    <row r="20" customFormat="false" ht="12.75" hidden="false" customHeight="false" outlineLevel="0" collapsed="false">
      <c r="B20" s="156"/>
      <c r="C20" s="156"/>
      <c r="D20" s="156"/>
      <c r="E20" s="156"/>
      <c r="F20" s="156"/>
      <c r="I20" s="156"/>
      <c r="J20" s="156"/>
      <c r="K20" s="156"/>
    </row>
    <row r="21" customFormat="false" ht="12.75" hidden="false" customHeight="false" outlineLevel="0" collapsed="false">
      <c r="B21" s="156"/>
      <c r="C21" s="156"/>
      <c r="D21" s="156"/>
      <c r="E21" s="156"/>
      <c r="F21" s="156"/>
      <c r="I21" s="156"/>
      <c r="J21" s="156"/>
      <c r="K21" s="156"/>
      <c r="L21" s="27"/>
      <c r="M21" s="27"/>
    </row>
    <row r="22" customFormat="false" ht="13.5" hidden="false" customHeight="false" outlineLevel="0" collapsed="false">
      <c r="A22" s="32" t="s">
        <v>190</v>
      </c>
      <c r="B22" s="160" t="n">
        <f aca="false">B15+B19</f>
        <v>593635</v>
      </c>
      <c r="C22" s="160" t="n">
        <f aca="false">C15+C19</f>
        <v>0</v>
      </c>
      <c r="D22" s="160" t="n">
        <f aca="false">D15+D19</f>
        <v>593635</v>
      </c>
      <c r="E22" s="160" t="n">
        <f aca="false">E15+E19</f>
        <v>340196.65</v>
      </c>
      <c r="F22" s="160" t="n">
        <f aca="false">F15+F19</f>
        <v>253438.35</v>
      </c>
      <c r="H22" s="32" t="s">
        <v>190</v>
      </c>
      <c r="I22" s="160" t="n">
        <f aca="false">I15+I19</f>
        <v>593635</v>
      </c>
      <c r="J22" s="160" t="n">
        <f aca="false">J15+J19</f>
        <v>0</v>
      </c>
      <c r="K22" s="160" t="n">
        <f aca="false">K15+K19</f>
        <v>593635</v>
      </c>
      <c r="L22" s="160" t="n">
        <f aca="false">L15+L19</f>
        <v>512845.2</v>
      </c>
      <c r="M22" s="160" t="n">
        <f aca="false">M15+M19</f>
        <v>428930.2</v>
      </c>
      <c r="O22" s="161"/>
    </row>
    <row r="23" customFormat="false" ht="13.5" hidden="false" customHeight="false" outlineLevel="0" collapsed="false"/>
    <row r="25" customFormat="false" ht="13.5" hidden="false" customHeight="false" outlineLevel="0" collapsed="false">
      <c r="A25" s="24" t="s">
        <v>191</v>
      </c>
      <c r="B25" s="5" t="s">
        <v>192</v>
      </c>
      <c r="C25" s="5"/>
      <c r="E25" s="5" t="s">
        <v>193</v>
      </c>
      <c r="F25" s="5"/>
      <c r="H25" s="32" t="s">
        <v>194</v>
      </c>
      <c r="M25" s="162" t="n">
        <f aca="false">L22-M22</f>
        <v>83914.9999999999</v>
      </c>
    </row>
    <row r="26" customFormat="false" ht="13.5" hidden="false" customHeight="false" outlineLevel="0" collapsed="false">
      <c r="A26" s="25" t="s">
        <v>195</v>
      </c>
      <c r="B26" s="24"/>
      <c r="C26" s="24"/>
      <c r="E26" s="24"/>
      <c r="F26" s="24"/>
    </row>
    <row r="27" customFormat="false" ht="12.75" hidden="false" customHeight="false" outlineLevel="0" collapsed="false">
      <c r="A27" s="32" t="s">
        <v>196</v>
      </c>
      <c r="B27" s="163" t="s">
        <v>197</v>
      </c>
      <c r="C27" s="163"/>
      <c r="E27" s="163" t="s">
        <v>198</v>
      </c>
      <c r="F27" s="163"/>
      <c r="M27" s="156"/>
    </row>
    <row r="28" customFormat="false" ht="12.75" hidden="false" customHeight="false" outlineLevel="0" collapsed="false">
      <c r="H28" s="32" t="s">
        <v>199</v>
      </c>
      <c r="M28" s="156"/>
    </row>
    <row r="29" customFormat="false" ht="12.75" hidden="false" customHeight="false" outlineLevel="0" collapsed="false">
      <c r="A29" s="32" t="s">
        <v>200</v>
      </c>
      <c r="H29" s="0" t="s">
        <v>196</v>
      </c>
      <c r="M29" s="156" t="n">
        <f aca="false">125000-86113</f>
        <v>38887</v>
      </c>
    </row>
    <row r="30" customFormat="false" ht="12.75" hidden="false" customHeight="false" outlineLevel="0" collapsed="false">
      <c r="A30" s="0" t="s">
        <v>201</v>
      </c>
      <c r="H30" s="0" t="s">
        <v>202</v>
      </c>
      <c r="M30" s="156" t="n">
        <f aca="false">K14-M14</f>
        <v>11190</v>
      </c>
    </row>
    <row r="31" customFormat="false" ht="12.75" hidden="false" customHeight="false" outlineLevel="0" collapsed="false">
      <c r="A31" s="164" t="s">
        <v>203</v>
      </c>
      <c r="B31" s="165" t="n">
        <f aca="false">'Legal Entity Summary'!B37</f>
        <v>25432</v>
      </c>
      <c r="C31" s="165"/>
      <c r="E31" s="163"/>
      <c r="F31" s="163"/>
      <c r="H31" s="0" t="s">
        <v>204</v>
      </c>
      <c r="M31" s="158" t="n">
        <f aca="false">'Legal Entity Summary'!C14</f>
        <v>33838</v>
      </c>
    </row>
    <row r="32" customFormat="false" ht="12.75" hidden="false" customHeight="false" outlineLevel="0" collapsed="false">
      <c r="A32" s="164" t="s">
        <v>88</v>
      </c>
      <c r="B32" s="166" t="n">
        <f aca="false">'Legal Entity Summary'!B41</f>
        <v>24138</v>
      </c>
      <c r="C32" s="166"/>
      <c r="E32" s="163"/>
      <c r="F32" s="163"/>
      <c r="M32" s="156"/>
    </row>
    <row r="33" customFormat="false" ht="13.5" hidden="false" customHeight="false" outlineLevel="0" collapsed="false">
      <c r="A33" s="164" t="s">
        <v>205</v>
      </c>
      <c r="B33" s="167" t="n">
        <f aca="false">SUM(B31:C32)</f>
        <v>49570</v>
      </c>
      <c r="C33" s="167"/>
      <c r="E33" s="163" t="n">
        <v>48</v>
      </c>
      <c r="F33" s="163"/>
      <c r="H33" s="32" t="s">
        <v>206</v>
      </c>
      <c r="M33" s="168" t="n">
        <f aca="false">SUM(M29:M32)</f>
        <v>83915</v>
      </c>
    </row>
    <row r="34" customFormat="false" ht="13.5" hidden="false" customHeight="false" outlineLevel="0" collapsed="false"/>
    <row r="35" customFormat="false" ht="12.75" hidden="false" customHeight="false" outlineLevel="0" collapsed="false">
      <c r="A35" s="164" t="s">
        <v>202</v>
      </c>
      <c r="B35" s="163" t="n">
        <v>74</v>
      </c>
      <c r="C35" s="163"/>
      <c r="E35" s="169" t="n">
        <v>63</v>
      </c>
      <c r="F35" s="169"/>
      <c r="M35" s="157" t="n">
        <f aca="false">M25-M33</f>
        <v>0</v>
      </c>
    </row>
  </sheetData>
  <mergeCells count="20">
    <mergeCell ref="A1:F1"/>
    <mergeCell ref="H1:M1"/>
    <mergeCell ref="A2:F2"/>
    <mergeCell ref="H2:M2"/>
    <mergeCell ref="A3:F3"/>
    <mergeCell ref="H3:M3"/>
    <mergeCell ref="A4:F4"/>
    <mergeCell ref="H4:M4"/>
    <mergeCell ref="B25:C25"/>
    <mergeCell ref="E25:F25"/>
    <mergeCell ref="B27:C27"/>
    <mergeCell ref="E27:F27"/>
    <mergeCell ref="B31:C31"/>
    <mergeCell ref="E31:F31"/>
    <mergeCell ref="B32:C32"/>
    <mergeCell ref="E32:F32"/>
    <mergeCell ref="B33:C33"/>
    <mergeCell ref="E33:F33"/>
    <mergeCell ref="B35:C35"/>
    <mergeCell ref="E35:F3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2001-11-01T14:46:02Z</dcterms:created>
  <dc:creator>wcurry</dc:creator>
  <dc:description/>
  <dc:language>en-US</dc:language>
  <cp:lastModifiedBy>wcurry</cp:lastModifiedBy>
  <cp:lastPrinted>2001-11-06T17:14:48Z</cp:lastPrinted>
  <dcterms:modified xsi:type="dcterms:W3CDTF">2001-11-06T17:36:24Z</dcterms:modified>
  <cp:revision>0</cp:revision>
  <dc:subject/>
  <dc:title/>
</cp:coreProperties>
</file>