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nat 1-2" sheetId="1" state="visible" r:id="rId3"/>
    <sheet name="Sonat 1-3" sheetId="2" state="visible" r:id="rId4"/>
    <sheet name="Mommentum" sheetId="3" state="visible" r:id="rId5"/>
    <sheet name="Transportation" sheetId="4" state="visible" r:id="rId6"/>
    <sheet name="Backhaul" sheetId="5" state="visible" r:id="rId7"/>
    <sheet name="Sheet1" sheetId="6" state="visible" r:id="rId8"/>
    <sheet name="Sheet 2" sheetId="7" state="visible" r:id="rId9"/>
  </sheets>
  <externalReferences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sz val="8"/>
            <color rgb="FF000000"/>
            <rFont val="Tahoma"/>
            <family val="0"/>
          </rPr>
          <t xml:space="preserve">Proposed Rate of $.27 with 1.9% fuel @ $4.37.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84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sz val="8"/>
            <color rgb="FF000000"/>
            <rFont val="Tahoma"/>
            <family val="0"/>
          </rPr>
          <t xml:space="preserve">DESTIN + $.02 + INDEX PREMIUM $.02 = $.04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31</xdr:colOff>
                <xdr:row>6</xdr:row>
                <xdr:rowOff>11</xdr:rowOff>
              </xdr:from>
              <xdr:to>
                <xdr:col>8</xdr:col>
                <xdr:colOff>44</xdr:colOff>
                <xdr:row>8</xdr:row>
                <xdr:rowOff>10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SONAT TRANSPORT INCLUDES $.0022 ACA, GSR+SCRM,$.0044
 AND NO GRI IS CHARGED AFTER JAN-2004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4</xdr:row>
                <xdr:rowOff>7</xdr:rowOff>
              </xdr:from>
              <xdr:to>
                <xdr:col>11</xdr:col>
                <xdr:colOff>18</xdr:colOff>
                <xdr:row>5</xdr:row>
                <xdr:rowOff>96</xdr:rowOff>
              </xdr:to>
            </anchor>
          </commentPr>
        </mc:Choice>
        <mc:Fallback/>
      </mc:AlternateContent>
    </comment>
    <comment ref="G56" authorId="0">
      <text>
        <r>
          <rPr>
            <sz val="8"/>
            <color rgb="FF000000"/>
            <rFont val="Tahoma"/>
            <family val="0"/>
          </rPr>
          <t xml:space="preserve">INCLUDES ACA,$.0022 AND GREAT PLAINS,$.0097, NO GRI AFTER JAN,2004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53</xdr:row>
                <xdr:rowOff>8</xdr:rowOff>
              </xdr:from>
              <xdr:to>
                <xdr:col>11</xdr:col>
                <xdr:colOff>9</xdr:colOff>
                <xdr:row>59</xdr:row>
                <xdr:rowOff>4</xdr:rowOff>
              </xdr:to>
            </anchor>
          </commentPr>
        </mc:Choice>
        <mc:Fallback/>
      </mc:AlternateContent>
    </comment>
    <comment ref="G57" authorId="0">
      <text>
        <r>
          <rPr>
            <sz val="8"/>
            <color rgb="FF000000"/>
            <rFont val="Tahoma"/>
            <family val="0"/>
          </rPr>
          <t xml:space="preserve">ESTIMATED TRANSPORT $/DTH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54</xdr:row>
                <xdr:rowOff>8</xdr:rowOff>
              </xdr:from>
              <xdr:to>
                <xdr:col>11</xdr:col>
                <xdr:colOff>5</xdr:colOff>
                <xdr:row>56</xdr:row>
                <xdr:rowOff>9</xdr:rowOff>
              </xdr:to>
            </anchor>
          </commentPr>
        </mc:Choice>
        <mc:Fallback/>
      </mc:AlternateContent>
    </comment>
    <comment ref="G62" authorId="0">
      <text>
        <r>
          <rPr>
            <sz val="8"/>
            <color rgb="FF000000"/>
            <rFont val="Tahoma"/>
            <family val="0"/>
          </rPr>
          <t xml:space="preserve">INCLUDES RESERVATION  ,ACA,$.0022 AND GREAT PLAINS,$.0097, NO GRI AFTER JAN,2004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59</xdr:row>
                <xdr:rowOff>8</xdr:rowOff>
              </xdr:from>
              <xdr:to>
                <xdr:col>11</xdr:col>
                <xdr:colOff>9</xdr:colOff>
                <xdr:row>64</xdr:row>
                <xdr:rowOff>10</xdr:rowOff>
              </xdr:to>
            </anchor>
          </commentPr>
        </mc:Choice>
        <mc:Fallback/>
      </mc:AlternateContent>
    </comment>
    <comment ref="G68" authorId="0">
      <text>
        <r>
          <rPr>
            <sz val="8"/>
            <color rgb="FF000000"/>
            <rFont val="Tahoma"/>
            <family val="0"/>
          </rPr>
          <t xml:space="preserve">INCLUDES ACA,$.0022 AND GREAT PLAINS,$.0097, NO GRI AFTER JAN,2004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65</xdr:row>
                <xdr:rowOff>8</xdr:rowOff>
              </xdr:from>
              <xdr:to>
                <xdr:col>11</xdr:col>
                <xdr:colOff>7</xdr:colOff>
                <xdr:row>71</xdr:row>
                <xdr:rowOff>11</xdr:rowOff>
              </xdr:to>
            </anchor>
          </commentPr>
        </mc:Choice>
        <mc:Fallback/>
      </mc:AlternateContent>
    </comment>
    <comment ref="G92" authorId="0">
      <text>
        <r>
          <rPr>
            <sz val="8"/>
            <color rgb="FF000000"/>
            <rFont val="Tahoma"/>
            <family val="0"/>
          </rPr>
          <t xml:space="preserve">INCLUDES ACA,$.0022 AND GREAT PLAINS,$.0097, NO GRI AFTER JAN,2004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91</xdr:row>
                <xdr:rowOff>0</xdr:rowOff>
              </xdr:from>
              <xdr:to>
                <xdr:col>11</xdr:col>
                <xdr:colOff>7</xdr:colOff>
                <xdr:row>97</xdr:row>
                <xdr:rowOff>13</xdr:rowOff>
              </xdr:to>
            </anchor>
          </commentPr>
        </mc:Choice>
        <mc:Fallback/>
      </mc:AlternateContent>
    </comment>
    <comment ref="G93" authorId="0">
      <text>
        <r>
          <rPr>
            <sz val="8"/>
            <color rgb="FF000000"/>
            <rFont val="Tahoma"/>
            <family val="0"/>
          </rPr>
          <t xml:space="preserve">INCLUDES ACA,$.0022 AND GREAT PLAINS,$.0097, NO GRI AFTER JAN,2004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91</xdr:row>
                <xdr:rowOff>0</xdr:rowOff>
              </xdr:from>
              <xdr:to>
                <xdr:col>11</xdr:col>
                <xdr:colOff>7</xdr:colOff>
                <xdr:row>100</xdr:row>
                <xdr:rowOff>16</xdr:rowOff>
              </xdr:to>
            </anchor>
          </commentPr>
        </mc:Choice>
        <mc:Fallback/>
      </mc:AlternateContent>
    </comment>
    <comment ref="I5" authorId="0">
      <text>
        <r>
          <rPr>
            <sz val="8"/>
            <color rgb="FF000000"/>
            <rFont val="Tahoma"/>
            <family val="0"/>
          </rPr>
          <t xml:space="preserve">FUEL BASED ON 10 YEAR NYMEX CURVE OUT OF MAY,2004.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</xdr:colOff>
                <xdr:row>3</xdr:row>
                <xdr:rowOff>7</xdr:rowOff>
              </xdr:from>
              <xdr:to>
                <xdr:col>13</xdr:col>
                <xdr:colOff>32</xdr:colOff>
                <xdr:row>5</xdr:row>
                <xdr:rowOff>33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<sst xmlns="http://schemas.openxmlformats.org/spreadsheetml/2006/main" count="414" uniqueCount="167">
  <si>
    <t xml:space="preserve">80% Load Factor Analysis</t>
  </si>
  <si>
    <t xml:space="preserve">Elba</t>
  </si>
  <si>
    <t xml:space="preserve">Load</t>
  </si>
  <si>
    <t xml:space="preserve">Southern Co.</t>
  </si>
  <si>
    <t xml:space="preserve">Destin/Transco</t>
  </si>
  <si>
    <t xml:space="preserve">Comment</t>
  </si>
  <si>
    <t xml:space="preserve">Sonat 1-2 Disc</t>
  </si>
  <si>
    <t xml:space="preserve">Backhaul</t>
  </si>
  <si>
    <t xml:space="preserve">Factor</t>
  </si>
  <si>
    <t xml:space="preserve">Bid</t>
  </si>
  <si>
    <t xml:space="preserve">Offer</t>
  </si>
  <si>
    <t xml:space="preserve">Demand Chg.</t>
  </si>
  <si>
    <t xml:space="preserve">IT Backhaul (3-3)</t>
  </si>
  <si>
    <t xml:space="preserve">Commodity</t>
  </si>
  <si>
    <t xml:space="preserve">IT Backhaul (3-2)</t>
  </si>
  <si>
    <t xml:space="preserve">Fuel - 2.3% @4.37</t>
  </si>
  <si>
    <t xml:space="preserve">Total</t>
  </si>
  <si>
    <t xml:space="preserve">Load Factor</t>
  </si>
  <si>
    <t xml:space="preserve">Avg. Rate</t>
  </si>
  <si>
    <t xml:space="preserve">Basis</t>
  </si>
  <si>
    <t xml:space="preserve">Avg. Delivered Price</t>
  </si>
  <si>
    <t xml:space="preserve">Price Difference</t>
  </si>
  <si>
    <t xml:space="preserve">Southern Co. Bid</t>
  </si>
  <si>
    <t xml:space="preserve">Potenial New Price</t>
  </si>
  <si>
    <t xml:space="preserve">Assumptions:</t>
  </si>
  <si>
    <t xml:space="preserve">Southern Company will run a 80% load factor.</t>
  </si>
  <si>
    <t xml:space="preserve">Southern Company will sell gas not being used at a first of the month index (Back into Transco @ Destin) and no cost for intramonth volatility or storage costs.</t>
  </si>
  <si>
    <t xml:space="preserve">Rates stay the same over the term of this deal.</t>
  </si>
  <si>
    <t xml:space="preserve">Sonat Max Rate of $.268 with 2.3% fuel @$4.37.</t>
  </si>
  <si>
    <t xml:space="preserve">Does not assume what Southern Co. can do to mitigate cost by moving gas to a Zone 2 or 3 market or value it can generate on unused Sonat Capacity.</t>
  </si>
  <si>
    <t xml:space="preserve">Sonat 1-3</t>
  </si>
  <si>
    <t xml:space="preserve">Fuel - 2.6% @4.37</t>
  </si>
  <si>
    <t xml:space="preserve">Sonat Max Rate of $.3573 with 2.6% fuel @$4.37.</t>
  </si>
  <si>
    <t xml:space="preserve">80% Load Facor Analysis</t>
  </si>
  <si>
    <t xml:space="preserve">Transco</t>
  </si>
  <si>
    <t xml:space="preserve">Destin</t>
  </si>
  <si>
    <t xml:space="preserve">Mommentum</t>
  </si>
  <si>
    <t xml:space="preserve">All in Rate</t>
  </si>
  <si>
    <t xml:space="preserve">IT Backhaul (3-1)</t>
  </si>
  <si>
    <t xml:space="preserve">Potential New Price</t>
  </si>
  <si>
    <t xml:space="preserve">Southern Company will sell gas not being used at a first of the month index and no cost for intramonth volatility or storage costs.</t>
  </si>
  <si>
    <t xml:space="preserve">Transco Rate of $.27 with 1.9% fuel @$4.37.</t>
  </si>
  <si>
    <t xml:space="preserve">Does not assume what Southern Co. can do to mitigate cost by moving gas to a Zone 2 or 3 market or value it can generate on unused Transco Capacity.</t>
  </si>
  <si>
    <t xml:space="preserve">TRANSPORTATION FROM ELBA ISLAND TO VARIOUS DOWNSTREAM LOCATIONS</t>
  </si>
  <si>
    <t xml:space="preserve">REF #</t>
  </si>
  <si>
    <t xml:space="preserve">DELIVERING PIPELINE</t>
  </si>
  <si>
    <t xml:space="preserve">RECEIPT LOCATION</t>
  </si>
  <si>
    <t xml:space="preserve">DELIVERY LOCATION</t>
  </si>
  <si>
    <t xml:space="preserve">DELIVERY LOCATION 10 YR CURVE $/DTH</t>
  </si>
  <si>
    <t xml:space="preserve">RATE SCHEDULE</t>
  </si>
  <si>
    <t xml:space="preserve">COMM</t>
  </si>
  <si>
    <t xml:space="preserve">FUEL %</t>
  </si>
  <si>
    <t xml:space="preserve">FUEL $/DTH</t>
  </si>
  <si>
    <t xml:space="preserve">TOTAL TRANSPORT $/DTH</t>
  </si>
  <si>
    <t xml:space="preserve">NETBACK PRICE  AT ELBA $/DTH</t>
  </si>
  <si>
    <t xml:space="preserve">NETBACK PRICE  AT ELBA $/DTH (80%  Load Factor</t>
  </si>
  <si>
    <t xml:space="preserve">TRANSPORTATION COST COMPARISONS</t>
  </si>
  <si>
    <t xml:space="preserve">1A</t>
  </si>
  <si>
    <t xml:space="preserve">SONAT</t>
  </si>
  <si>
    <t xml:space="preserve">ZONE 1</t>
  </si>
  <si>
    <t xml:space="preserve">AGL/SCPL ZN 3</t>
  </si>
  <si>
    <t xml:space="preserve">FT</t>
  </si>
  <si>
    <t xml:space="preserve">ELBA ZN 3</t>
  </si>
  <si>
    <t xml:space="preserve">IT </t>
  </si>
  <si>
    <t xml:space="preserve">1B</t>
  </si>
  <si>
    <t xml:space="preserve">2A</t>
  </si>
  <si>
    <t xml:space="preserve">ZONE 3</t>
  </si>
  <si>
    <t xml:space="preserve">ZN 3 (BACKHAUL)</t>
  </si>
  <si>
    <t xml:space="preserve">2B</t>
  </si>
  <si>
    <t xml:space="preserve">2C</t>
  </si>
  <si>
    <t xml:space="preserve">ZONE 2</t>
  </si>
  <si>
    <t xml:space="preserve">2D</t>
  </si>
  <si>
    <t xml:space="preserve">2E</t>
  </si>
  <si>
    <t xml:space="preserve">ZONE 2 (MAX RATE 100% LF)</t>
  </si>
  <si>
    <t xml:space="preserve">2F</t>
  </si>
  <si>
    <t xml:space="preserve">ZONE 2 (DISC RATE 100% LF@$6)</t>
  </si>
  <si>
    <t xml:space="preserve">2G</t>
  </si>
  <si>
    <t xml:space="preserve">ZONE 2 (DISC RATE 100% LF@$7)</t>
  </si>
  <si>
    <t xml:space="preserve">2H</t>
  </si>
  <si>
    <t xml:space="preserve">ZONE 3 (MAX RATE 100% LF)</t>
  </si>
  <si>
    <t xml:space="preserve">2 i</t>
  </si>
  <si>
    <t xml:space="preserve">FT-Disc</t>
  </si>
  <si>
    <t xml:space="preserve">2J</t>
  </si>
  <si>
    <t xml:space="preserve">Bypass</t>
  </si>
  <si>
    <t xml:space="preserve">McIntosh - By-Pass</t>
  </si>
  <si>
    <t xml:space="preserve">NETBACK CALCULATIONS</t>
  </si>
  <si>
    <t xml:space="preserve">3A</t>
  </si>
  <si>
    <t xml:space="preserve">TRANSCO,ZN 4,JONESBORO</t>
  </si>
  <si>
    <t xml:space="preserve">3B</t>
  </si>
  <si>
    <t xml:space="preserve">4A</t>
  </si>
  <si>
    <t xml:space="preserve">TRANSCO</t>
  </si>
  <si>
    <t xml:space="preserve">SONAT (ZN 5)</t>
  </si>
  <si>
    <t xml:space="preserve">TRANSCO ZONE 5</t>
  </si>
  <si>
    <t xml:space="preserve">IT</t>
  </si>
  <si>
    <t xml:space="preserve">NEW PIPE</t>
  </si>
  <si>
    <t xml:space="preserve">SONAT ZN 3</t>
  </si>
  <si>
    <t xml:space="preserve">WRENS, NEW PIPE, BACKHAUL</t>
  </si>
  <si>
    <t xml:space="preserve">TOTAL:</t>
  </si>
  <si>
    <t xml:space="preserve">4B</t>
  </si>
  <si>
    <t xml:space="preserve">5A</t>
  </si>
  <si>
    <t xml:space="preserve">ST 65 ZONE 3</t>
  </si>
  <si>
    <t xml:space="preserve">DIFF:</t>
  </si>
  <si>
    <t xml:space="preserve">5B</t>
  </si>
  <si>
    <t xml:space="preserve">TRANSCO ZONE 6</t>
  </si>
  <si>
    <t xml:space="preserve">MICS CALCULATIONS</t>
  </si>
  <si>
    <t xml:space="preserve">EFP INTO ZN 4</t>
  </si>
  <si>
    <t xml:space="preserve">SONAT (ZN 4)</t>
  </si>
  <si>
    <t xml:space="preserve">TRANSCO ZONE 4</t>
  </si>
  <si>
    <t xml:space="preserve">DELIVERED EFP</t>
  </si>
  <si>
    <t xml:space="preserve">EFP LESS TRANSPORT</t>
  </si>
  <si>
    <t xml:space="preserve">FT (5-5)</t>
  </si>
  <si>
    <t xml:space="preserve">TRANSCO ZONE 6 NON-NY</t>
  </si>
  <si>
    <t xml:space="preserve">FT (5-6)</t>
  </si>
  <si>
    <t xml:space="preserve">EST:</t>
  </si>
  <si>
    <t xml:space="preserve">PATH</t>
  </si>
  <si>
    <t xml:space="preserve">CYPRESS</t>
  </si>
  <si>
    <t xml:space="preserve">ELBA</t>
  </si>
  <si>
    <t xml:space="preserve">FLORIDA MARKET ZONE</t>
  </si>
  <si>
    <t xml:space="preserve">TRANSCO </t>
  </si>
  <si>
    <t xml:space="preserve">3-6</t>
  </si>
  <si>
    <t xml:space="preserve">5-6</t>
  </si>
  <si>
    <t xml:space="preserve">FLORIDA</t>
  </si>
  <si>
    <t xml:space="preserve">FLORIDA MARKETS</t>
  </si>
  <si>
    <t xml:space="preserve">FUEL +</t>
  </si>
  <si>
    <t xml:space="preserve">VARIABLE</t>
  </si>
  <si>
    <t xml:space="preserve">SAVINGS</t>
  </si>
  <si>
    <t xml:space="preserve">3-5</t>
  </si>
  <si>
    <t xml:space="preserve">5-5</t>
  </si>
  <si>
    <t xml:space="preserve">Swap with Scana/IT Backhaul and compare vs. Mommentum</t>
  </si>
  <si>
    <t xml:space="preserve">Month</t>
  </si>
  <si>
    <t xml:space="preserve">Sta. 65</t>
  </si>
  <si>
    <t xml:space="preserve">Sta. 85</t>
  </si>
  <si>
    <t xml:space="preserve">January</t>
  </si>
  <si>
    <t xml:space="preserve">Tier I</t>
  </si>
  <si>
    <t xml:space="preserve">Tier II</t>
  </si>
  <si>
    <t xml:space="preserve">February</t>
  </si>
  <si>
    <t xml:space="preserve">Sta 65</t>
  </si>
  <si>
    <t xml:space="preserve">Sta 85</t>
  </si>
  <si>
    <t xml:space="preserve">March</t>
  </si>
  <si>
    <t xml:space="preserve">Rate</t>
  </si>
  <si>
    <t xml:space="preserve">April</t>
  </si>
  <si>
    <t xml:space="preserve">Fuel %</t>
  </si>
  <si>
    <t xml:space="preserve">May</t>
  </si>
  <si>
    <t xml:space="preserve">Fuel </t>
  </si>
  <si>
    <t xml:space="preserve">June</t>
  </si>
  <si>
    <t xml:space="preserve">Sub-total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</si>
  <si>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</si>
  <si>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</si>
  <si>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</si>
  <si>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</si>
  <si>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</si>
  <si>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</si>
  <si>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Average:</t>
  </si>
  <si>
    <t xml:space="preserve">Sonat 3 to 3 variable for shoulder months with $.09 demand charge</t>
  </si>
  <si>
    <t xml:space="preserve">Swap with Scana/IT Backhaul and compare vs. Currently Effective Rates</t>
  </si>
  <si>
    <t xml:space="preserve">Current Rates</t>
  </si>
  <si>
    <t xml:space="preserve">Zone 3-4</t>
  </si>
  <si>
    <t xml:space="preserve">Zone 4-4</t>
  </si>
  <si>
    <t xml:space="preserve">Goat Rock/Autaugaville</t>
  </si>
  <si>
    <t xml:space="preserve">Sonat Current Max Rate (Zone 1-3)</t>
  </si>
  <si>
    <t xml:space="preserve">Sonat 1-2 Discounted</t>
  </si>
  <si>
    <t xml:space="preserve">Sonat 1-3 Max Rate</t>
  </si>
  <si>
    <t xml:space="preserve">Less Sonat Back-Haul</t>
  </si>
  <si>
    <t xml:space="preserve">Netback @ Elba</t>
  </si>
  <si>
    <t xml:space="preserve">Fuel calculated at $4.37 for 15 years.</t>
  </si>
  <si>
    <t xml:space="preserve">Goat Rock/Autagaville Assumption</t>
  </si>
  <si>
    <t xml:space="preserve">Discounted rate of $6.00 demand increases with GDP deflator not to exceed max rate (currently at $8.10).  Assumption is an avg. rate of $7.00 or $.23.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</si>
</sst>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0%"/>
    <numFmt numFmtId="168" formatCode="_(\$* #,##0.0000_);_(\$* \(#,##0.0000\);_(\$* \-??_);_(@_)"/>
    <numFmt numFmtId="169" formatCode="\$#,##0.00_);[RED]&quot;($&quot;#,##0.00\)"/>
    <numFmt numFmtId="170" formatCode="0.0%"/>
    <numFmt numFmtId="171" formatCode="\$#,##0.000_);[RED]&quot;($&quot;#,##0.000\)"/>
    <numFmt numFmtId="172" formatCode="0.0000"/>
    <numFmt numFmtId="173" formatCode="\$#,##0.0000_);[RED]&quot;($&quot;#,##0.0000\)"/>
    <numFmt numFmtId="174" formatCode="0.00%"/>
    <numFmt numFmtId="175" formatCode="_(* #,##0.000_);_(* \(#,##0.000\);_(* \-??_);_(@_)"/>
    <numFmt numFmtId="176" formatCode="_(* #,##0.00_);_(* \(#,##0.00\);_(* \-??_);_(@_)"/>
    <numFmt numFmtId="177" formatCode="_(* #,##0_);_(* \(#,##0\);_(* \-??_);_(@_)"/>
    <numFmt numFmtId="178" formatCode="_(\$* #,##0_);_(\$* \(#,##0\);_(\$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sz val="8"/>
      <color rgb="FF000000"/>
      <name val="Tahoma"/>
      <family val="0"/>
    </font>
    <font>
      <sz val="9"/>
      <name val="Arial"/>
      <family val="2"/>
    </font>
    <font>
      <b val="true"/>
      <sz val="14"/>
      <name val="Arial"/>
      <family val="2"/>
    </font>
    <font>
      <b val="true"/>
      <sz val="9"/>
      <color rgb="FF000080"/>
      <name val="Arial"/>
      <family val="2"/>
    </font>
    <font>
      <b val="true"/>
      <sz val="11"/>
      <color rgb="FF000080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b val="true"/>
      <sz val="10"/>
      <color rgb="FF00008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pdemoes/LOCALS~1/Temp/~160218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PORTATION"/>
      <sheetName val="CURVES"/>
      <sheetName val="SONAT FT-IT"/>
      <sheetName val="TRANSCO FT"/>
      <sheetName val="Sheet5"/>
      <sheetName val="Sheet6"/>
    </sheetNames>
    <sheetDataSet>
      <sheetData sheetId="0"/>
      <sheetData sheetId="1">
        <row r="6">
          <cell r="D6">
            <v>0.714583333333334</v>
          </cell>
        </row>
        <row r="6">
          <cell r="H6">
            <v>0.0408083333333333</v>
          </cell>
        </row>
        <row r="6">
          <cell r="L6">
            <v>0.665416666666667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17.7"/>
    <col collapsed="false" customWidth="true" hidden="false" outlineLevel="0" max="3" min="3" style="0" width="11.85"/>
    <col collapsed="false" customWidth="true" hidden="false" outlineLevel="0" max="4" min="4" style="0" width="3.28"/>
    <col collapsed="false" customWidth="true" hidden="false" outlineLevel="0" max="5" min="5" style="0" width="15.13"/>
    <col collapsed="false" customWidth="true" hidden="false" outlineLevel="0" max="6" min="6" style="1" width="8.99"/>
    <col collapsed="false" customWidth="true" hidden="false" outlineLevel="0" max="8" min="8" style="1" width="7.7"/>
    <col collapsed="false" customWidth="true" hidden="false" outlineLevel="0" max="9" min="9" style="1" width="11.85"/>
    <col collapsed="false" customWidth="true" hidden="false" outlineLevel="0" max="10" min="10" style="1" width="13.99"/>
  </cols>
  <sheetData>
    <row r="2" customFormat="false" ht="12.75" hidden="false" customHeight="false" outlineLevel="0" collapsed="false">
      <c r="B2" s="2" t="s">
        <v>0</v>
      </c>
    </row>
    <row r="4" customFormat="false" ht="12.75" hidden="false" customHeight="false" outlineLevel="0" collapsed="false">
      <c r="F4" s="1" t="s">
        <v>1</v>
      </c>
      <c r="G4" s="0" t="s">
        <v>2</v>
      </c>
      <c r="I4" s="1" t="s">
        <v>3</v>
      </c>
      <c r="J4" s="1" t="s">
        <v>4</v>
      </c>
    </row>
    <row r="5" customFormat="false" ht="12.75" hidden="false" customHeight="false" outlineLevel="0" collapsed="false">
      <c r="B5" s="0" t="s">
        <v>5</v>
      </c>
      <c r="C5" s="0" t="s">
        <v>6</v>
      </c>
      <c r="D5" s="3"/>
      <c r="E5" s="3" t="s">
        <v>5</v>
      </c>
      <c r="F5" s="1" t="s">
        <v>7</v>
      </c>
      <c r="G5" s="3" t="s">
        <v>8</v>
      </c>
      <c r="I5" s="1" t="s">
        <v>9</v>
      </c>
      <c r="J5" s="1" t="s">
        <v>10</v>
      </c>
      <c r="K5" s="3"/>
    </row>
    <row r="6" customFormat="false" ht="12.75" hidden="false" customHeight="false" outlineLevel="0" collapsed="false">
      <c r="B6" s="4"/>
      <c r="C6" s="5"/>
      <c r="D6" s="3"/>
      <c r="E6" s="4"/>
      <c r="F6" s="6"/>
      <c r="G6" s="7"/>
      <c r="H6" s="6"/>
      <c r="I6" s="6"/>
      <c r="J6" s="6"/>
      <c r="K6" s="5"/>
    </row>
    <row r="7" customFormat="false" ht="12.75" hidden="false" customHeight="false" outlineLevel="0" collapsed="false">
      <c r="B7" s="8" t="s">
        <v>11</v>
      </c>
      <c r="C7" s="9" t="n">
        <v>0.2</v>
      </c>
      <c r="E7" s="8" t="s">
        <v>12</v>
      </c>
      <c r="F7" s="10" t="n">
        <v>0.172</v>
      </c>
      <c r="G7" s="11" t="n">
        <v>0.8</v>
      </c>
      <c r="H7" s="10" t="n">
        <f aca="false">+G7*F7</f>
        <v>0.1376</v>
      </c>
      <c r="I7" s="1" t="n">
        <v>0.15</v>
      </c>
      <c r="K7" s="12" t="n">
        <f aca="false">+I7+H7</f>
        <v>0.2876</v>
      </c>
    </row>
    <row r="8" customFormat="false" ht="12.75" hidden="false" customHeight="false" outlineLevel="0" collapsed="false">
      <c r="B8" s="8" t="s">
        <v>13</v>
      </c>
      <c r="C8" s="13" t="n">
        <f aca="false">0.022+0.0004+0.004+0.0022</f>
        <v>0.0286</v>
      </c>
      <c r="E8" s="14" t="s">
        <v>14</v>
      </c>
      <c r="F8" s="15" t="n">
        <v>0.172</v>
      </c>
      <c r="G8" s="16" t="n">
        <v>0.2</v>
      </c>
      <c r="H8" s="15" t="n">
        <f aca="false">+G8*F8</f>
        <v>0.0344</v>
      </c>
      <c r="I8" s="17" t="n">
        <v>0.15</v>
      </c>
      <c r="J8" s="17" t="n">
        <v>0.06</v>
      </c>
      <c r="K8" s="18" t="n">
        <f aca="false">+H8+I8-J8</f>
        <v>0.1244</v>
      </c>
    </row>
    <row r="9" customFormat="false" ht="12.75" hidden="false" customHeight="false" outlineLevel="0" collapsed="false">
      <c r="B9" s="8" t="s">
        <v>15</v>
      </c>
      <c r="C9" s="19" t="n">
        <f aca="false">4.37*0.023</f>
        <v>0.10051</v>
      </c>
      <c r="E9" s="8"/>
      <c r="G9" s="20" t="n">
        <f aca="false">SUM(G7:G8)</f>
        <v>1</v>
      </c>
      <c r="H9" s="10" t="n">
        <f aca="false">SUM(H7:H8)</f>
        <v>0.172</v>
      </c>
      <c r="K9" s="21" t="n">
        <f aca="false">SUM(K7:K8)</f>
        <v>0.412</v>
      </c>
    </row>
    <row r="10" customFormat="false" ht="12.75" hidden="false" customHeight="false" outlineLevel="0" collapsed="false">
      <c r="B10" s="22" t="s">
        <v>16</v>
      </c>
      <c r="C10" s="23" t="n">
        <f aca="false">SUM(C7:C9)</f>
        <v>0.32911</v>
      </c>
      <c r="E10" s="8"/>
      <c r="G10" s="3"/>
      <c r="K10" s="24"/>
    </row>
    <row r="11" customFormat="false" ht="12.75" hidden="false" customHeight="false" outlineLevel="0" collapsed="false">
      <c r="B11" s="8" t="s">
        <v>17</v>
      </c>
      <c r="C11" s="25" t="n">
        <v>0.8</v>
      </c>
      <c r="E11" s="14"/>
      <c r="F11" s="17"/>
      <c r="G11" s="26"/>
      <c r="H11" s="17"/>
      <c r="I11" s="17"/>
      <c r="J11" s="17"/>
      <c r="K11" s="27"/>
    </row>
    <row r="12" customFormat="false" ht="12.75" hidden="false" customHeight="false" outlineLevel="0" collapsed="false">
      <c r="B12" s="8" t="s">
        <v>18</v>
      </c>
      <c r="C12" s="13" t="n">
        <f aca="false">(+C7/C11)+C8+C9</f>
        <v>0.37911</v>
      </c>
    </row>
    <row r="13" customFormat="false" ht="12.75" hidden="false" customHeight="false" outlineLevel="0" collapsed="false">
      <c r="B13" s="8" t="s">
        <v>19</v>
      </c>
      <c r="C13" s="28" t="n">
        <v>0.05</v>
      </c>
    </row>
    <row r="14" customFormat="false" ht="12.75" hidden="false" customHeight="false" outlineLevel="0" collapsed="false">
      <c r="B14" s="14" t="s">
        <v>20</v>
      </c>
      <c r="C14" s="29" t="n">
        <f aca="false">+C12+C13</f>
        <v>0.42911</v>
      </c>
    </row>
    <row r="16" customFormat="false" ht="12.75" hidden="false" customHeight="false" outlineLevel="0" collapsed="false">
      <c r="E16" s="1"/>
    </row>
    <row r="17" customFormat="false" ht="12.75" hidden="false" customHeight="false" outlineLevel="0" collapsed="false">
      <c r="B17" s="0" t="s">
        <v>21</v>
      </c>
      <c r="C17" s="10" t="n">
        <f aca="false">+C14-K9</f>
        <v>0.01711</v>
      </c>
    </row>
    <row r="18" customFormat="false" ht="12.75" hidden="false" customHeight="false" outlineLevel="0" collapsed="false">
      <c r="B18" s="1" t="s">
        <v>22</v>
      </c>
      <c r="C18" s="17" t="n">
        <v>0.15</v>
      </c>
    </row>
    <row r="19" customFormat="false" ht="12.75" hidden="false" customHeight="false" outlineLevel="0" collapsed="false">
      <c r="B19" s="0" t="s">
        <v>23</v>
      </c>
      <c r="C19" s="10" t="n">
        <f aca="false">+C18+C17</f>
        <v>0.16711</v>
      </c>
    </row>
    <row r="22" customFormat="false" ht="12.75" hidden="false" customHeight="false" outlineLevel="0" collapsed="false">
      <c r="B22" s="30" t="s">
        <v>24</v>
      </c>
    </row>
    <row r="23" customFormat="false" ht="12.75" hidden="false" customHeight="false" outlineLevel="0" collapsed="false">
      <c r="A23" s="0" t="n">
        <v>1</v>
      </c>
      <c r="B23" s="31" t="s">
        <v>25</v>
      </c>
      <c r="C23" s="31"/>
      <c r="D23" s="31"/>
      <c r="E23" s="31"/>
      <c r="F23" s="32"/>
      <c r="G23" s="31"/>
      <c r="H23" s="32"/>
      <c r="I23" s="32"/>
      <c r="J23" s="32"/>
      <c r="K23" s="31"/>
      <c r="L23" s="31"/>
    </row>
    <row r="24" customFormat="false" ht="12.75" hidden="false" customHeight="false" outlineLevel="0" collapsed="false">
      <c r="A24" s="0" t="n">
        <v>2</v>
      </c>
      <c r="B24" s="31" t="s">
        <v>26</v>
      </c>
      <c r="C24" s="31"/>
      <c r="D24" s="31"/>
      <c r="E24" s="31"/>
      <c r="F24" s="32"/>
      <c r="G24" s="31"/>
      <c r="H24" s="32"/>
      <c r="I24" s="32"/>
      <c r="J24" s="32"/>
      <c r="K24" s="31"/>
      <c r="L24" s="31"/>
    </row>
    <row r="25" customFormat="false" ht="12.75" hidden="false" customHeight="false" outlineLevel="0" collapsed="false">
      <c r="A25" s="0" t="n">
        <v>3</v>
      </c>
      <c r="B25" s="31" t="s">
        <v>27</v>
      </c>
      <c r="C25" s="31"/>
      <c r="D25" s="31"/>
      <c r="E25" s="31"/>
      <c r="F25" s="32"/>
      <c r="G25" s="31"/>
      <c r="H25" s="32"/>
      <c r="I25" s="32"/>
      <c r="J25" s="32"/>
      <c r="K25" s="31"/>
      <c r="L25" s="31"/>
    </row>
    <row r="26" customFormat="false" ht="12.75" hidden="false" customHeight="false" outlineLevel="0" collapsed="false">
      <c r="A26" s="0" t="n">
        <v>4</v>
      </c>
      <c r="B26" s="31" t="s">
        <v>28</v>
      </c>
      <c r="C26" s="31"/>
      <c r="D26" s="31"/>
      <c r="E26" s="31"/>
      <c r="F26" s="32"/>
      <c r="G26" s="31"/>
      <c r="H26" s="32"/>
      <c r="I26" s="32"/>
      <c r="J26" s="32"/>
      <c r="K26" s="31"/>
      <c r="L26" s="31"/>
    </row>
    <row r="27" customFormat="false" ht="12.75" hidden="false" customHeight="false" outlineLevel="0" collapsed="false">
      <c r="A27" s="0" t="n">
        <v>5</v>
      </c>
      <c r="B27" s="31" t="s">
        <v>29</v>
      </c>
      <c r="C27" s="31"/>
      <c r="D27" s="31"/>
      <c r="E27" s="31"/>
      <c r="F27" s="32"/>
      <c r="G27" s="31"/>
      <c r="H27" s="32"/>
      <c r="I27" s="32"/>
      <c r="J27" s="32"/>
      <c r="K27" s="31"/>
      <c r="L27" s="31"/>
    </row>
  </sheetData>
  <printOptions headings="false" gridLines="false" gridLinesSet="true" horizontalCentered="false" verticalCentered="false"/>
  <pageMargins left="0.820138888888889" right="1.0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7.7"/>
    <col collapsed="false" customWidth="true" hidden="false" outlineLevel="0" max="3" min="3" style="0" width="11.85"/>
    <col collapsed="false" customWidth="true" hidden="false" outlineLevel="0" max="5" min="5" style="0" width="15.13"/>
    <col collapsed="false" customWidth="true" hidden="false" outlineLevel="0" max="6" min="6" style="1" width="9.14"/>
    <col collapsed="false" customWidth="true" hidden="false" outlineLevel="0" max="8" min="8" style="1" width="9.14"/>
    <col collapsed="false" customWidth="true" hidden="false" outlineLevel="0" max="9" min="9" style="1" width="11.85"/>
    <col collapsed="false" customWidth="true" hidden="false" outlineLevel="0" max="10" min="10" style="1" width="14.7"/>
  </cols>
  <sheetData>
    <row r="2" customFormat="false" ht="12.75" hidden="false" customHeight="false" outlineLevel="0" collapsed="false">
      <c r="B2" s="2" t="s">
        <v>0</v>
      </c>
    </row>
    <row r="4" customFormat="false" ht="12.75" hidden="false" customHeight="false" outlineLevel="0" collapsed="false">
      <c r="F4" s="1" t="s">
        <v>1</v>
      </c>
      <c r="G4" s="0" t="s">
        <v>2</v>
      </c>
      <c r="I4" s="1" t="s">
        <v>3</v>
      </c>
      <c r="J4" s="1" t="s">
        <v>4</v>
      </c>
    </row>
    <row r="5" customFormat="false" ht="12.75" hidden="false" customHeight="false" outlineLevel="0" collapsed="false">
      <c r="B5" s="0" t="s">
        <v>5</v>
      </c>
      <c r="C5" s="0" t="s">
        <v>30</v>
      </c>
      <c r="D5" s="3"/>
      <c r="E5" s="3" t="s">
        <v>5</v>
      </c>
      <c r="F5" s="1" t="s">
        <v>7</v>
      </c>
      <c r="G5" s="3" t="s">
        <v>8</v>
      </c>
      <c r="I5" s="1" t="s">
        <v>9</v>
      </c>
      <c r="J5" s="1" t="s">
        <v>10</v>
      </c>
      <c r="K5" s="3"/>
    </row>
    <row r="6" customFormat="false" ht="12.75" hidden="false" customHeight="false" outlineLevel="0" collapsed="false">
      <c r="B6" s="4"/>
      <c r="C6" s="5"/>
      <c r="D6" s="3"/>
      <c r="E6" s="4"/>
      <c r="F6" s="6"/>
      <c r="G6" s="7"/>
      <c r="H6" s="6"/>
      <c r="I6" s="6"/>
      <c r="J6" s="6"/>
      <c r="K6" s="5"/>
    </row>
    <row r="7" customFormat="false" ht="12.75" hidden="false" customHeight="false" outlineLevel="0" collapsed="false">
      <c r="B7" s="8" t="s">
        <v>11</v>
      </c>
      <c r="C7" s="13" t="n">
        <f aca="false">10.79/30.2</f>
        <v>0.357284768211921</v>
      </c>
      <c r="E7" s="8" t="s">
        <v>12</v>
      </c>
      <c r="F7" s="10" t="n">
        <v>0.172</v>
      </c>
      <c r="G7" s="11" t="n">
        <v>0.8</v>
      </c>
      <c r="H7" s="10" t="n">
        <f aca="false">+G7*F7</f>
        <v>0.1376</v>
      </c>
      <c r="I7" s="1" t="n">
        <v>0.15</v>
      </c>
      <c r="K7" s="12" t="n">
        <f aca="false">+I7+H7</f>
        <v>0.2876</v>
      </c>
    </row>
    <row r="8" customFormat="false" ht="12.75" hidden="false" customHeight="false" outlineLevel="0" collapsed="false">
      <c r="B8" s="8" t="s">
        <v>13</v>
      </c>
      <c r="C8" s="13" t="n">
        <f aca="false">0.022+0.0004+0.004+0.0022</f>
        <v>0.0286</v>
      </c>
      <c r="E8" s="14" t="s">
        <v>14</v>
      </c>
      <c r="F8" s="15" t="n">
        <v>0.172</v>
      </c>
      <c r="G8" s="16" t="n">
        <v>0.2</v>
      </c>
      <c r="H8" s="15" t="n">
        <f aca="false">+G8*F8</f>
        <v>0.0344</v>
      </c>
      <c r="I8" s="17" t="n">
        <v>0.15</v>
      </c>
      <c r="J8" s="17" t="n">
        <v>0.06</v>
      </c>
      <c r="K8" s="18" t="n">
        <f aca="false">+H8+I8-J8</f>
        <v>0.1244</v>
      </c>
    </row>
    <row r="9" customFormat="false" ht="12.75" hidden="false" customHeight="false" outlineLevel="0" collapsed="false">
      <c r="B9" s="8" t="s">
        <v>31</v>
      </c>
      <c r="C9" s="19" t="n">
        <f aca="false">4.37*0.026</f>
        <v>0.11362</v>
      </c>
      <c r="E9" s="8"/>
      <c r="G9" s="20" t="n">
        <f aca="false">SUM(G7:G8)</f>
        <v>1</v>
      </c>
      <c r="H9" s="10" t="n">
        <f aca="false">SUM(H7:H8)</f>
        <v>0.172</v>
      </c>
      <c r="K9" s="21" t="n">
        <f aca="false">SUM(K7:K8)</f>
        <v>0.412</v>
      </c>
    </row>
    <row r="10" customFormat="false" ht="12.75" hidden="false" customHeight="false" outlineLevel="0" collapsed="false">
      <c r="B10" s="22" t="s">
        <v>16</v>
      </c>
      <c r="C10" s="23" t="n">
        <f aca="false">SUM(C7:C9)</f>
        <v>0.499504768211921</v>
      </c>
      <c r="E10" s="8"/>
      <c r="G10" s="3"/>
      <c r="K10" s="24"/>
    </row>
    <row r="11" customFormat="false" ht="12.75" hidden="false" customHeight="false" outlineLevel="0" collapsed="false">
      <c r="B11" s="8" t="s">
        <v>17</v>
      </c>
      <c r="C11" s="25" t="n">
        <v>0.8</v>
      </c>
      <c r="E11" s="14"/>
      <c r="F11" s="17"/>
      <c r="G11" s="26"/>
      <c r="H11" s="17"/>
      <c r="I11" s="17"/>
      <c r="J11" s="17"/>
      <c r="K11" s="27"/>
    </row>
    <row r="12" customFormat="false" ht="12.75" hidden="false" customHeight="false" outlineLevel="0" collapsed="false">
      <c r="B12" s="8" t="s">
        <v>18</v>
      </c>
      <c r="C12" s="13" t="n">
        <f aca="false">(+C7/0.8)+C8+C9</f>
        <v>0.588825960264901</v>
      </c>
    </row>
    <row r="13" customFormat="false" ht="12.75" hidden="false" customHeight="false" outlineLevel="0" collapsed="false">
      <c r="B13" s="8" t="s">
        <v>19</v>
      </c>
      <c r="C13" s="28" t="n">
        <v>0.05</v>
      </c>
    </row>
    <row r="14" customFormat="false" ht="12.75" hidden="false" customHeight="false" outlineLevel="0" collapsed="false">
      <c r="B14" s="14" t="s">
        <v>20</v>
      </c>
      <c r="C14" s="29" t="n">
        <f aca="false">+C12+C13</f>
        <v>0.638825960264901</v>
      </c>
    </row>
    <row r="16" customFormat="false" ht="12.75" hidden="false" customHeight="false" outlineLevel="0" collapsed="false">
      <c r="E16" s="1"/>
    </row>
    <row r="17" customFormat="false" ht="12.75" hidden="false" customHeight="false" outlineLevel="0" collapsed="false">
      <c r="B17" s="0" t="s">
        <v>21</v>
      </c>
      <c r="C17" s="10" t="n">
        <f aca="false">+C14-K9</f>
        <v>0.226825960264901</v>
      </c>
    </row>
    <row r="18" customFormat="false" ht="12.75" hidden="false" customHeight="false" outlineLevel="0" collapsed="false">
      <c r="B18" s="1" t="s">
        <v>22</v>
      </c>
      <c r="C18" s="17" t="n">
        <v>0.15</v>
      </c>
    </row>
    <row r="19" customFormat="false" ht="12.75" hidden="false" customHeight="false" outlineLevel="0" collapsed="false">
      <c r="B19" s="0" t="s">
        <v>23</v>
      </c>
      <c r="C19" s="10" t="n">
        <f aca="false">+C18+C17</f>
        <v>0.376825960264901</v>
      </c>
    </row>
    <row r="22" customFormat="false" ht="12.75" hidden="false" customHeight="false" outlineLevel="0" collapsed="false">
      <c r="B22" s="30" t="s">
        <v>24</v>
      </c>
    </row>
    <row r="23" customFormat="false" ht="12.75" hidden="false" customHeight="false" outlineLevel="0" collapsed="false">
      <c r="A23" s="0" t="n">
        <v>1</v>
      </c>
      <c r="B23" s="31" t="s">
        <v>25</v>
      </c>
      <c r="C23" s="31"/>
      <c r="D23" s="31"/>
      <c r="E23" s="31"/>
      <c r="F23" s="32"/>
      <c r="G23" s="31"/>
      <c r="H23" s="32"/>
      <c r="I23" s="32"/>
      <c r="J23" s="32"/>
      <c r="K23" s="31"/>
      <c r="L23" s="31"/>
    </row>
    <row r="24" customFormat="false" ht="12.75" hidden="false" customHeight="false" outlineLevel="0" collapsed="false">
      <c r="A24" s="0" t="n">
        <v>2</v>
      </c>
      <c r="B24" s="31" t="s">
        <v>26</v>
      </c>
      <c r="C24" s="31"/>
      <c r="D24" s="31"/>
      <c r="E24" s="31"/>
      <c r="F24" s="32"/>
      <c r="G24" s="31"/>
      <c r="H24" s="32"/>
      <c r="I24" s="32"/>
      <c r="J24" s="32"/>
      <c r="K24" s="31"/>
      <c r="L24" s="31"/>
    </row>
    <row r="25" customFormat="false" ht="12.75" hidden="false" customHeight="false" outlineLevel="0" collapsed="false">
      <c r="A25" s="0" t="n">
        <v>3</v>
      </c>
      <c r="B25" s="31" t="s">
        <v>27</v>
      </c>
      <c r="C25" s="31"/>
      <c r="D25" s="31"/>
      <c r="E25" s="31"/>
      <c r="F25" s="32"/>
      <c r="G25" s="31"/>
      <c r="H25" s="32"/>
      <c r="I25" s="32"/>
      <c r="J25" s="32"/>
      <c r="K25" s="31"/>
      <c r="L25" s="31"/>
    </row>
    <row r="26" customFormat="false" ht="12.75" hidden="false" customHeight="false" outlineLevel="0" collapsed="false">
      <c r="A26" s="0" t="n">
        <v>4</v>
      </c>
      <c r="B26" s="31" t="s">
        <v>32</v>
      </c>
      <c r="C26" s="31"/>
      <c r="D26" s="31"/>
      <c r="E26" s="31"/>
      <c r="F26" s="32"/>
      <c r="G26" s="31"/>
      <c r="H26" s="32"/>
      <c r="I26" s="32"/>
      <c r="J26" s="32"/>
      <c r="K26" s="31"/>
      <c r="L26" s="31"/>
    </row>
    <row r="27" customFormat="false" ht="12.75" hidden="false" customHeight="false" outlineLevel="0" collapsed="false">
      <c r="A27" s="0" t="n">
        <v>5</v>
      </c>
      <c r="B27" s="31" t="s">
        <v>29</v>
      </c>
      <c r="C27" s="31"/>
      <c r="D27" s="31"/>
      <c r="E27" s="31"/>
      <c r="F27" s="32"/>
      <c r="G27" s="31"/>
      <c r="H27" s="32"/>
      <c r="I27" s="32"/>
      <c r="J27" s="32"/>
      <c r="K27" s="31"/>
      <c r="L2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3" min="3" style="0" width="11.85"/>
    <col collapsed="false" customWidth="true" hidden="false" outlineLevel="0" max="5" min="5" style="0" width="15.13"/>
    <col collapsed="false" customWidth="true" hidden="false" outlineLevel="0" max="6" min="6" style="1" width="9.14"/>
    <col collapsed="false" customWidth="true" hidden="false" outlineLevel="0" max="8" min="8" style="1" width="9.14"/>
    <col collapsed="false" customWidth="true" hidden="false" outlineLevel="0" max="10" min="9" style="1" width="11.85"/>
  </cols>
  <sheetData>
    <row r="2" customFormat="false" ht="12.75" hidden="false" customHeight="false" outlineLevel="0" collapsed="false">
      <c r="B2" s="2" t="s">
        <v>33</v>
      </c>
    </row>
    <row r="4" customFormat="false" ht="12.75" hidden="false" customHeight="false" outlineLevel="0" collapsed="false">
      <c r="C4" s="0" t="s">
        <v>34</v>
      </c>
      <c r="F4" s="1" t="s">
        <v>1</v>
      </c>
      <c r="G4" s="0" t="s">
        <v>2</v>
      </c>
      <c r="I4" s="1" t="s">
        <v>3</v>
      </c>
      <c r="J4" s="1" t="s">
        <v>35</v>
      </c>
    </row>
    <row r="5" customFormat="false" ht="12.75" hidden="false" customHeight="false" outlineLevel="0" collapsed="false">
      <c r="B5" s="0" t="s">
        <v>5</v>
      </c>
      <c r="C5" s="3" t="s">
        <v>36</v>
      </c>
      <c r="D5" s="3"/>
      <c r="E5" s="3" t="s">
        <v>5</v>
      </c>
      <c r="F5" s="1" t="s">
        <v>7</v>
      </c>
      <c r="G5" s="3" t="s">
        <v>8</v>
      </c>
      <c r="I5" s="1" t="s">
        <v>9</v>
      </c>
      <c r="J5" s="1" t="s">
        <v>10</v>
      </c>
      <c r="K5" s="3"/>
    </row>
    <row r="6" customFormat="false" ht="12.75" hidden="false" customHeight="false" outlineLevel="0" collapsed="false">
      <c r="B6" s="4"/>
      <c r="C6" s="5"/>
      <c r="D6" s="3"/>
      <c r="E6" s="4"/>
      <c r="F6" s="6"/>
      <c r="G6" s="7"/>
      <c r="H6" s="6"/>
      <c r="I6" s="6"/>
      <c r="J6" s="6"/>
      <c r="K6" s="5"/>
    </row>
    <row r="7" customFormat="false" ht="12.75" hidden="false" customHeight="false" outlineLevel="0" collapsed="false">
      <c r="B7" s="8" t="s">
        <v>37</v>
      </c>
      <c r="C7" s="33" t="n">
        <v>0.35</v>
      </c>
      <c r="E7" s="8" t="s">
        <v>12</v>
      </c>
      <c r="F7" s="10" t="n">
        <v>0.172</v>
      </c>
      <c r="G7" s="11" t="n">
        <v>0.8</v>
      </c>
      <c r="H7" s="10" t="n">
        <f aca="false">+G7*F7</f>
        <v>0.1376</v>
      </c>
      <c r="I7" s="1" t="n">
        <v>0.15</v>
      </c>
      <c r="K7" s="12" t="n">
        <f aca="false">+I7+H7</f>
        <v>0.2876</v>
      </c>
    </row>
    <row r="8" customFormat="false" ht="12.75" hidden="false" customHeight="false" outlineLevel="0" collapsed="false">
      <c r="B8" s="8" t="s">
        <v>17</v>
      </c>
      <c r="C8" s="25" t="n">
        <v>0.8</v>
      </c>
      <c r="E8" s="14" t="s">
        <v>38</v>
      </c>
      <c r="F8" s="15" t="n">
        <v>0.172</v>
      </c>
      <c r="G8" s="16" t="n">
        <v>0.2</v>
      </c>
      <c r="H8" s="15" t="n">
        <f aca="false">+G8*F8</f>
        <v>0.0344</v>
      </c>
      <c r="I8" s="17" t="n">
        <v>0.15</v>
      </c>
      <c r="J8" s="17" t="n">
        <v>0.05</v>
      </c>
      <c r="K8" s="18" t="n">
        <f aca="false">+H8+I8-J8</f>
        <v>0.1344</v>
      </c>
    </row>
    <row r="9" customFormat="false" ht="12.75" hidden="false" customHeight="false" outlineLevel="0" collapsed="false">
      <c r="B9" s="8" t="s">
        <v>18</v>
      </c>
      <c r="C9" s="13" t="n">
        <f aca="false">(0.27/0.8)+(4.37*0.019)</f>
        <v>0.42053</v>
      </c>
      <c r="E9" s="8"/>
      <c r="G9" s="20" t="n">
        <f aca="false">SUM(G7:G8)</f>
        <v>1</v>
      </c>
      <c r="H9" s="10" t="n">
        <f aca="false">SUM(H7:H8)</f>
        <v>0.172</v>
      </c>
      <c r="K9" s="21" t="n">
        <f aca="false">SUM(K7:K8)</f>
        <v>0.422</v>
      </c>
    </row>
    <row r="10" customFormat="false" ht="12.75" hidden="false" customHeight="false" outlineLevel="0" collapsed="false">
      <c r="B10" s="8" t="s">
        <v>19</v>
      </c>
      <c r="C10" s="28" t="n">
        <v>0.05</v>
      </c>
      <c r="E10" s="8"/>
      <c r="G10" s="3"/>
      <c r="K10" s="24"/>
    </row>
    <row r="11" customFormat="false" ht="12.75" hidden="false" customHeight="false" outlineLevel="0" collapsed="false">
      <c r="B11" s="14" t="s">
        <v>20</v>
      </c>
      <c r="C11" s="29" t="n">
        <f aca="false">+C9+C10</f>
        <v>0.47053</v>
      </c>
      <c r="E11" s="14"/>
      <c r="F11" s="17"/>
      <c r="G11" s="26"/>
      <c r="H11" s="17"/>
      <c r="I11" s="17"/>
      <c r="J11" s="17"/>
      <c r="K11" s="27"/>
    </row>
    <row r="14" customFormat="false" ht="12.75" hidden="false" customHeight="false" outlineLevel="0" collapsed="false">
      <c r="E14" s="1"/>
    </row>
    <row r="15" customFormat="false" ht="12.75" hidden="false" customHeight="false" outlineLevel="0" collapsed="false">
      <c r="B15" s="0" t="s">
        <v>21</v>
      </c>
      <c r="C15" s="10" t="n">
        <f aca="false">+C11-K9</f>
        <v>0.04853</v>
      </c>
    </row>
    <row r="16" customFormat="false" ht="12.75" hidden="false" customHeight="false" outlineLevel="0" collapsed="false">
      <c r="B16" s="1" t="s">
        <v>22</v>
      </c>
      <c r="C16" s="17" t="n">
        <v>0.15</v>
      </c>
    </row>
    <row r="17" customFormat="false" ht="12.75" hidden="false" customHeight="false" outlineLevel="0" collapsed="false">
      <c r="B17" s="0" t="s">
        <v>39</v>
      </c>
      <c r="C17" s="10" t="n">
        <f aca="false">+C16+C15</f>
        <v>0.19853</v>
      </c>
    </row>
    <row r="20" customFormat="false" ht="12.75" hidden="false" customHeight="false" outlineLevel="0" collapsed="false">
      <c r="B20" s="30" t="s">
        <v>24</v>
      </c>
    </row>
    <row r="21" customFormat="false" ht="12.75" hidden="false" customHeight="false" outlineLevel="0" collapsed="false">
      <c r="A21" s="0" t="n">
        <v>1</v>
      </c>
      <c r="B21" s="31" t="s">
        <v>25</v>
      </c>
      <c r="C21" s="31"/>
      <c r="D21" s="31"/>
      <c r="E21" s="31"/>
      <c r="F21" s="32"/>
      <c r="G21" s="31"/>
      <c r="H21" s="32"/>
      <c r="I21" s="32"/>
      <c r="J21" s="32"/>
      <c r="K21" s="31"/>
      <c r="L21" s="31"/>
    </row>
    <row r="22" customFormat="false" ht="12.75" hidden="false" customHeight="false" outlineLevel="0" collapsed="false">
      <c r="A22" s="0" t="n">
        <v>2</v>
      </c>
      <c r="B22" s="31" t="s">
        <v>40</v>
      </c>
      <c r="C22" s="31"/>
      <c r="D22" s="31"/>
      <c r="E22" s="31"/>
      <c r="F22" s="32"/>
      <c r="G22" s="31"/>
      <c r="H22" s="32"/>
      <c r="I22" s="32"/>
      <c r="J22" s="32"/>
      <c r="K22" s="31"/>
      <c r="L22" s="31"/>
    </row>
    <row r="23" customFormat="false" ht="12.75" hidden="false" customHeight="false" outlineLevel="0" collapsed="false">
      <c r="A23" s="0" t="n">
        <v>3</v>
      </c>
      <c r="B23" s="31" t="s">
        <v>27</v>
      </c>
      <c r="C23" s="31"/>
      <c r="D23" s="31"/>
      <c r="E23" s="31"/>
      <c r="F23" s="32"/>
      <c r="G23" s="31"/>
      <c r="H23" s="32"/>
      <c r="I23" s="32"/>
      <c r="J23" s="32"/>
      <c r="K23" s="31"/>
      <c r="L23" s="31"/>
    </row>
    <row r="24" customFormat="false" ht="12.75" hidden="false" customHeight="false" outlineLevel="0" collapsed="false">
      <c r="A24" s="0" t="n">
        <v>4</v>
      </c>
      <c r="B24" s="31" t="s">
        <v>41</v>
      </c>
      <c r="C24" s="31"/>
      <c r="D24" s="31"/>
      <c r="E24" s="31"/>
      <c r="F24" s="32"/>
      <c r="G24" s="31"/>
      <c r="H24" s="32"/>
      <c r="I24" s="32"/>
      <c r="J24" s="32"/>
      <c r="K24" s="31"/>
      <c r="L24" s="31"/>
    </row>
    <row r="25" customFormat="false" ht="12.75" hidden="false" customHeight="false" outlineLevel="0" collapsed="false">
      <c r="A25" s="0" t="n">
        <v>5</v>
      </c>
      <c r="B25" s="31" t="s">
        <v>42</v>
      </c>
      <c r="C25" s="31"/>
      <c r="D25" s="31"/>
      <c r="E25" s="31"/>
      <c r="F25" s="32"/>
      <c r="G25" s="31"/>
      <c r="H25" s="32"/>
      <c r="I25" s="32"/>
      <c r="J25" s="32"/>
      <c r="K25" s="31"/>
      <c r="L2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.7"/>
    <col collapsed="false" customWidth="true" hidden="false" outlineLevel="0" max="2" min="2" style="34" width="10.28"/>
    <col collapsed="false" customWidth="true" hidden="false" outlineLevel="0" max="3" min="3" style="34" width="11.28"/>
    <col collapsed="false" customWidth="true" hidden="false" outlineLevel="0" max="4" min="4" style="34" width="26.7"/>
    <col collapsed="false" customWidth="true" hidden="false" outlineLevel="0" max="5" min="5" style="34" width="10.85"/>
    <col collapsed="false" customWidth="true" hidden="false" outlineLevel="0" max="6" min="6" style="34" width="7.56"/>
    <col collapsed="false" customWidth="true" hidden="false" outlineLevel="0" max="7" min="7" style="34" width="9.28"/>
    <col collapsed="false" customWidth="true" hidden="false" outlineLevel="0" max="8" min="8" style="34" width="6.99"/>
    <col collapsed="false" customWidth="true" hidden="false" outlineLevel="0" max="9" min="9" style="34" width="7.7"/>
    <col collapsed="false" customWidth="true" hidden="false" outlineLevel="0" max="10" min="10" style="34" width="9.41"/>
    <col collapsed="false" customWidth="true" hidden="false" outlineLevel="0" max="11" min="11" style="34" width="8.41"/>
    <col collapsed="false" customWidth="true" hidden="false" outlineLevel="0" max="12" min="12" style="35" width="9.7"/>
    <col collapsed="false" customWidth="false" hidden="false" outlineLevel="0" max="257" min="13" style="34" width="9.14"/>
  </cols>
  <sheetData>
    <row r="3" customFormat="false" ht="18" hidden="false" customHeight="false" outlineLevel="0" collapsed="false">
      <c r="E3" s="36" t="s">
        <v>43</v>
      </c>
    </row>
    <row r="5" customFormat="false" ht="12.75" hidden="false" customHeight="false" outlineLevel="0" collapsed="false">
      <c r="I5" s="37" t="n">
        <v>4.37</v>
      </c>
    </row>
    <row r="6" customFormat="false" ht="72" hidden="false" customHeight="false" outlineLevel="0" collapsed="false">
      <c r="A6" s="38" t="s">
        <v>44</v>
      </c>
      <c r="B6" s="38" t="s">
        <v>45</v>
      </c>
      <c r="C6" s="38" t="s">
        <v>46</v>
      </c>
      <c r="D6" s="38" t="s">
        <v>47</v>
      </c>
      <c r="E6" s="38" t="s">
        <v>48</v>
      </c>
      <c r="F6" s="38" t="s">
        <v>49</v>
      </c>
      <c r="G6" s="38" t="s">
        <v>50</v>
      </c>
      <c r="H6" s="38" t="s">
        <v>51</v>
      </c>
      <c r="I6" s="38" t="s">
        <v>52</v>
      </c>
      <c r="J6" s="38" t="s">
        <v>53</v>
      </c>
      <c r="K6" s="38" t="s">
        <v>54</v>
      </c>
      <c r="L6" s="38" t="s">
        <v>55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15" hidden="false" customHeight="false" outlineLevel="0" collapsed="false">
      <c r="A7" s="40"/>
      <c r="B7" s="41" t="s">
        <v>56</v>
      </c>
      <c r="C7" s="40"/>
      <c r="D7" s="40"/>
      <c r="E7" s="40"/>
      <c r="F7" s="40"/>
      <c r="G7" s="40"/>
      <c r="H7" s="40"/>
      <c r="I7" s="40"/>
      <c r="J7" s="40"/>
      <c r="K7" s="40"/>
    </row>
    <row r="8" customFormat="false" ht="12.75" hidden="false" customHeight="false" outlineLevel="0" collapsed="false">
      <c r="A8" s="40"/>
      <c r="B8" s="42"/>
      <c r="C8" s="40"/>
      <c r="D8" s="40"/>
      <c r="E8" s="40"/>
      <c r="F8" s="40"/>
      <c r="G8" s="40"/>
      <c r="H8" s="40"/>
      <c r="I8" s="40"/>
      <c r="J8" s="40"/>
      <c r="K8" s="40"/>
    </row>
    <row r="9" customFormat="false" ht="12.75" hidden="false" customHeight="false" outlineLevel="0" collapsed="false">
      <c r="A9" s="35" t="s">
        <v>57</v>
      </c>
      <c r="B9" s="43" t="s">
        <v>58</v>
      </c>
      <c r="C9" s="43" t="s">
        <v>59</v>
      </c>
      <c r="D9" s="43" t="s">
        <v>60</v>
      </c>
      <c r="E9" s="43" t="n">
        <v>0.05</v>
      </c>
      <c r="F9" s="43" t="s">
        <v>61</v>
      </c>
      <c r="G9" s="43" t="n">
        <v>0.0286</v>
      </c>
      <c r="H9" s="44" t="n">
        <v>0.026</v>
      </c>
      <c r="I9" s="45" t="n">
        <f aca="false">$I$5/(1-0.026)-$I$5</f>
        <v>0.116652977412731</v>
      </c>
      <c r="J9" s="45" t="n">
        <f aca="false">SUM(G9,I9)</f>
        <v>0.145252977412731</v>
      </c>
      <c r="K9" s="45" t="n">
        <f aca="false">J9+E9-J10</f>
        <v>-0.0698952459375225</v>
      </c>
      <c r="L9" s="46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12.75" hidden="false" customHeight="false" outlineLevel="0" collapsed="false">
      <c r="A10" s="35" t="s">
        <v>57</v>
      </c>
      <c r="B10" s="43" t="s">
        <v>58</v>
      </c>
      <c r="C10" s="43" t="s">
        <v>62</v>
      </c>
      <c r="D10" s="43" t="s">
        <v>60</v>
      </c>
      <c r="E10" s="43"/>
      <c r="F10" s="43" t="s">
        <v>63</v>
      </c>
      <c r="G10" s="43" t="n">
        <v>0.1986</v>
      </c>
      <c r="H10" s="44" t="n">
        <v>0.015</v>
      </c>
      <c r="I10" s="45" t="n">
        <f aca="false">$I$5/(1-0.015)-$I$5</f>
        <v>0.0665482233502539</v>
      </c>
      <c r="J10" s="45" t="n">
        <f aca="false">SUM(G10,I10)</f>
        <v>0.265148223350254</v>
      </c>
      <c r="K10" s="43"/>
      <c r="L10" s="46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2.75" hidden="false" customHeight="false" outlineLevel="0" collapsed="false">
      <c r="A11" s="35"/>
      <c r="B11" s="43"/>
      <c r="C11" s="43"/>
      <c r="D11" s="43"/>
      <c r="E11" s="43"/>
      <c r="F11" s="43"/>
      <c r="G11" s="43"/>
      <c r="H11" s="44"/>
      <c r="I11" s="45"/>
      <c r="J11" s="45"/>
      <c r="K11" s="43"/>
      <c r="L11" s="4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2.75" hidden="false" customHeight="false" outlineLevel="0" collapsed="false">
      <c r="A12" s="35" t="s">
        <v>64</v>
      </c>
      <c r="B12" s="43" t="s">
        <v>58</v>
      </c>
      <c r="C12" s="43" t="s">
        <v>59</v>
      </c>
      <c r="D12" s="43" t="s">
        <v>60</v>
      </c>
      <c r="E12" s="43" t="n">
        <v>0.05</v>
      </c>
      <c r="F12" s="43" t="s">
        <v>61</v>
      </c>
      <c r="G12" s="43" t="n">
        <v>0.0286</v>
      </c>
      <c r="H12" s="44" t="n">
        <v>0.026</v>
      </c>
      <c r="I12" s="45" t="n">
        <f aca="false">$I$5/(1-0.026)-$I$5</f>
        <v>0.116652977412731</v>
      </c>
      <c r="J12" s="45" t="n">
        <f aca="false">SUM(G12,I12)</f>
        <v>0.145252977412731</v>
      </c>
      <c r="K12" s="45" t="n">
        <f aca="false">J12+E12-J13</f>
        <v>0.111104754062478</v>
      </c>
      <c r="L12" s="47" t="n">
        <f aca="false">+K12/0.8</f>
        <v>0.138880942578097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12.75" hidden="false" customHeight="false" outlineLevel="0" collapsed="false">
      <c r="A13" s="35" t="s">
        <v>64</v>
      </c>
      <c r="B13" s="43" t="s">
        <v>58</v>
      </c>
      <c r="C13" s="43" t="s">
        <v>62</v>
      </c>
      <c r="D13" s="43" t="s">
        <v>60</v>
      </c>
      <c r="E13" s="43"/>
      <c r="F13" s="43" t="s">
        <v>61</v>
      </c>
      <c r="G13" s="43" t="n">
        <v>0.0176</v>
      </c>
      <c r="H13" s="44" t="n">
        <v>0.015</v>
      </c>
      <c r="I13" s="45" t="n">
        <f aca="false">$I$5/(1-0.015)-$I$5</f>
        <v>0.0665482233502539</v>
      </c>
      <c r="J13" s="45" t="n">
        <f aca="false">SUM(G13,I13)</f>
        <v>0.0841482233502539</v>
      </c>
      <c r="K13" s="43"/>
      <c r="L13" s="47"/>
    </row>
    <row r="14" customFormat="false" ht="12.75" hidden="false" customHeight="false" outlineLevel="0" collapsed="false">
      <c r="A14" s="35"/>
      <c r="B14" s="43"/>
      <c r="C14" s="43"/>
      <c r="D14" s="43"/>
      <c r="E14" s="43"/>
      <c r="F14" s="43"/>
      <c r="G14" s="43"/>
      <c r="H14" s="44"/>
      <c r="I14" s="45"/>
      <c r="J14" s="45"/>
      <c r="K14" s="43"/>
      <c r="L14" s="47"/>
    </row>
    <row r="15" customFormat="false" ht="12.75" hidden="false" customHeight="false" outlineLevel="0" collapsed="false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47"/>
    </row>
    <row r="16" customFormat="false" ht="12.75" hidden="false" customHeight="false" outlineLevel="0" collapsed="false">
      <c r="A16" s="35" t="s">
        <v>65</v>
      </c>
      <c r="B16" s="43" t="s">
        <v>58</v>
      </c>
      <c r="C16" s="43" t="s">
        <v>59</v>
      </c>
      <c r="D16" s="35" t="s">
        <v>66</v>
      </c>
      <c r="E16" s="35" t="n">
        <v>0.05</v>
      </c>
      <c r="F16" s="35" t="s">
        <v>63</v>
      </c>
      <c r="G16" s="35" t="n">
        <v>0.3096</v>
      </c>
      <c r="H16" s="44" t="n">
        <v>0.026</v>
      </c>
      <c r="I16" s="45" t="n">
        <f aca="false">$I$5/(1-0.026)-$I$5</f>
        <v>0.116652977412731</v>
      </c>
      <c r="J16" s="45" t="n">
        <f aca="false">SUM(G16,I16)</f>
        <v>0.426252977412731</v>
      </c>
      <c r="K16" s="45" t="n">
        <f aca="false">J16+E16-J17</f>
        <v>0.251274707795025</v>
      </c>
      <c r="L16" s="47" t="n">
        <f aca="false">+K16/0.8</f>
        <v>0.314093384743781</v>
      </c>
    </row>
    <row r="17" customFormat="false" ht="12.75" hidden="false" customHeight="false" outlineLevel="0" collapsed="false">
      <c r="A17" s="35" t="s">
        <v>65</v>
      </c>
      <c r="B17" s="43" t="s">
        <v>58</v>
      </c>
      <c r="C17" s="43" t="s">
        <v>62</v>
      </c>
      <c r="D17" s="43" t="s">
        <v>67</v>
      </c>
      <c r="E17" s="48"/>
      <c r="F17" s="43" t="s">
        <v>63</v>
      </c>
      <c r="G17" s="43" t="n">
        <v>0.1986</v>
      </c>
      <c r="H17" s="44" t="n">
        <v>0.006</v>
      </c>
      <c r="I17" s="45" t="n">
        <f aca="false">$I$5/(1-0.006)-$I$5</f>
        <v>0.0263782696177062</v>
      </c>
      <c r="J17" s="45" t="n">
        <f aca="false">SUM(G17,I17)</f>
        <v>0.224978269617706</v>
      </c>
      <c r="K17" s="49"/>
      <c r="L17" s="47"/>
    </row>
    <row r="18" customFormat="false" ht="12.75" hidden="false" customHeight="false" outlineLevel="0" collapsed="false">
      <c r="A18" s="35"/>
      <c r="B18" s="43"/>
      <c r="C18" s="43"/>
      <c r="D18" s="43"/>
      <c r="E18" s="48"/>
      <c r="F18" s="43"/>
      <c r="G18" s="43"/>
      <c r="H18" s="44"/>
      <c r="I18" s="45"/>
      <c r="J18" s="45"/>
      <c r="K18" s="49"/>
      <c r="L18" s="47"/>
    </row>
    <row r="19" customFormat="false" ht="12.75" hidden="false" customHeight="false" outlineLevel="0" collapsed="false">
      <c r="A19" s="35" t="s">
        <v>68</v>
      </c>
      <c r="B19" s="43" t="s">
        <v>58</v>
      </c>
      <c r="C19" s="43" t="s">
        <v>59</v>
      </c>
      <c r="D19" s="35" t="s">
        <v>66</v>
      </c>
      <c r="E19" s="43" t="n">
        <v>0.05</v>
      </c>
      <c r="F19" s="43" t="s">
        <v>61</v>
      </c>
      <c r="G19" s="43" t="n">
        <v>0.0286</v>
      </c>
      <c r="H19" s="44" t="n">
        <v>0.026</v>
      </c>
      <c r="I19" s="45" t="n">
        <f aca="false">$I$5/(1-0.026)-$I$5</f>
        <v>0.116652977412731</v>
      </c>
      <c r="J19" s="45" t="n">
        <f aca="false">SUM(G19,I19)</f>
        <v>0.145252977412731</v>
      </c>
      <c r="K19" s="45" t="n">
        <f aca="false">J19+E19-J20</f>
        <v>-0.0297252922049748</v>
      </c>
      <c r="L19" s="47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35" t="s">
        <v>68</v>
      </c>
      <c r="B20" s="43" t="s">
        <v>58</v>
      </c>
      <c r="C20" s="43" t="s">
        <v>62</v>
      </c>
      <c r="D20" s="43" t="s">
        <v>67</v>
      </c>
      <c r="E20" s="48"/>
      <c r="F20" s="43" t="s">
        <v>63</v>
      </c>
      <c r="G20" s="43" t="n">
        <v>0.1986</v>
      </c>
      <c r="H20" s="44" t="n">
        <v>0.006</v>
      </c>
      <c r="I20" s="45" t="n">
        <f aca="false">$I$5/(1-0.006)-$I$5</f>
        <v>0.0263782696177062</v>
      </c>
      <c r="J20" s="45" t="n">
        <f aca="false">SUM(G20,I20)</f>
        <v>0.224978269617706</v>
      </c>
      <c r="K20" s="49"/>
      <c r="L20" s="47"/>
    </row>
    <row r="21" customFormat="false" ht="12.75" hidden="false" customHeight="false" outlineLevel="0" collapsed="false">
      <c r="A21" s="35"/>
      <c r="B21" s="43"/>
      <c r="C21" s="43"/>
      <c r="D21" s="43"/>
      <c r="E21" s="48"/>
      <c r="F21" s="43"/>
      <c r="G21" s="43"/>
      <c r="H21" s="44"/>
      <c r="I21" s="45"/>
      <c r="J21" s="45"/>
      <c r="K21" s="49"/>
      <c r="L21" s="47"/>
    </row>
    <row r="22" customFormat="false" ht="12.75" hidden="false" customHeight="false" outlineLevel="0" collapsed="false">
      <c r="A22" s="35" t="s">
        <v>69</v>
      </c>
      <c r="B22" s="43" t="s">
        <v>58</v>
      </c>
      <c r="C22" s="43" t="s">
        <v>59</v>
      </c>
      <c r="D22" s="43" t="s">
        <v>70</v>
      </c>
      <c r="E22" s="43" t="n">
        <v>0.05</v>
      </c>
      <c r="F22" s="43" t="s">
        <v>63</v>
      </c>
      <c r="G22" s="43" t="n">
        <v>0.2106</v>
      </c>
      <c r="H22" s="44" t="n">
        <v>0.023</v>
      </c>
      <c r="I22" s="45" t="n">
        <f aca="false">$I$5/(1-0.023)-$I$5</f>
        <v>0.102876151484136</v>
      </c>
      <c r="J22" s="45" t="n">
        <f aca="false">SUM(G22,I22)</f>
        <v>0.313476151484136</v>
      </c>
      <c r="K22" s="45" t="n">
        <f aca="false">J22+E22-J23</f>
        <v>0.138497881866429</v>
      </c>
      <c r="L22" s="47" t="n">
        <f aca="false">+K22/0.8</f>
        <v>0.173122352333037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12.75" hidden="false" customHeight="false" outlineLevel="0" collapsed="false">
      <c r="A23" s="35" t="s">
        <v>69</v>
      </c>
      <c r="B23" s="43" t="s">
        <v>58</v>
      </c>
      <c r="C23" s="43" t="s">
        <v>62</v>
      </c>
      <c r="D23" s="43" t="s">
        <v>67</v>
      </c>
      <c r="E23" s="48"/>
      <c r="F23" s="43" t="s">
        <v>63</v>
      </c>
      <c r="G23" s="43" t="n">
        <v>0.1986</v>
      </c>
      <c r="H23" s="44" t="n">
        <v>0.006</v>
      </c>
      <c r="I23" s="45" t="n">
        <f aca="false">$I$5/(1-0.006)-$I$5</f>
        <v>0.0263782696177062</v>
      </c>
      <c r="J23" s="45" t="n">
        <f aca="false">SUM(G23,I23)</f>
        <v>0.224978269617706</v>
      </c>
      <c r="K23" s="49"/>
      <c r="L23" s="47"/>
    </row>
    <row r="24" customFormat="false" ht="12.75" hidden="false" customHeight="false" outlineLevel="0" collapsed="false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7"/>
    </row>
    <row r="25" customFormat="false" ht="12.75" hidden="false" customHeight="false" outlineLevel="0" collapsed="false">
      <c r="A25" s="35" t="s">
        <v>71</v>
      </c>
      <c r="B25" s="43" t="s">
        <v>58</v>
      </c>
      <c r="C25" s="43" t="s">
        <v>59</v>
      </c>
      <c r="D25" s="43" t="s">
        <v>70</v>
      </c>
      <c r="E25" s="43" t="n">
        <v>0.05</v>
      </c>
      <c r="F25" s="43" t="s">
        <v>61</v>
      </c>
      <c r="G25" s="43" t="n">
        <v>0.0176</v>
      </c>
      <c r="H25" s="44" t="n">
        <v>0.023</v>
      </c>
      <c r="I25" s="45" t="n">
        <f aca="false">$I$5/(1-0.023)-$I$5</f>
        <v>0.102876151484136</v>
      </c>
      <c r="J25" s="45" t="n">
        <f aca="false">SUM(G25,I25)</f>
        <v>0.120476151484136</v>
      </c>
      <c r="K25" s="45" t="n">
        <f aca="false">J25+E25-J26</f>
        <v>-0.0545021181335705</v>
      </c>
      <c r="L25" s="47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12.75" hidden="false" customHeight="false" outlineLevel="0" collapsed="false">
      <c r="A26" s="35" t="s">
        <v>71</v>
      </c>
      <c r="B26" s="43" t="s">
        <v>58</v>
      </c>
      <c r="C26" s="43" t="s">
        <v>62</v>
      </c>
      <c r="D26" s="43" t="s">
        <v>67</v>
      </c>
      <c r="E26" s="48"/>
      <c r="F26" s="43" t="s">
        <v>63</v>
      </c>
      <c r="G26" s="43" t="n">
        <v>0.1986</v>
      </c>
      <c r="H26" s="44" t="n">
        <v>0.006</v>
      </c>
      <c r="I26" s="45" t="n">
        <f aca="false">$I$5/(1-0.006)-$I$5</f>
        <v>0.0263782696177062</v>
      </c>
      <c r="J26" s="45" t="n">
        <f aca="false">SUM(G26,I26)</f>
        <v>0.224978269617706</v>
      </c>
      <c r="K26" s="49"/>
      <c r="L26" s="47"/>
    </row>
    <row r="27" customFormat="false" ht="12.75" hidden="false" customHeight="false" outlineLevel="0" collapsed="false">
      <c r="A27" s="35"/>
      <c r="B27" s="43"/>
      <c r="C27" s="43"/>
      <c r="D27" s="43"/>
      <c r="E27" s="48"/>
      <c r="F27" s="43"/>
      <c r="G27" s="43"/>
      <c r="H27" s="44"/>
      <c r="I27" s="45"/>
      <c r="J27" s="45"/>
      <c r="K27" s="49"/>
      <c r="L27" s="47"/>
    </row>
    <row r="28" customFormat="false" ht="12.75" hidden="false" customHeight="false" outlineLevel="0" collapsed="false">
      <c r="A28" s="35" t="s">
        <v>72</v>
      </c>
      <c r="B28" s="43" t="s">
        <v>58</v>
      </c>
      <c r="C28" s="43" t="s">
        <v>59</v>
      </c>
      <c r="D28" s="43" t="s">
        <v>73</v>
      </c>
      <c r="E28" s="43" t="n">
        <v>0.05</v>
      </c>
      <c r="F28" s="43" t="s">
        <v>61</v>
      </c>
      <c r="G28" s="43" t="n">
        <v>0.2905</v>
      </c>
      <c r="H28" s="44" t="n">
        <v>0.023</v>
      </c>
      <c r="I28" s="45" t="n">
        <f aca="false">$I$5/(1-0.023)-$I$5</f>
        <v>0.102876151484136</v>
      </c>
      <c r="J28" s="45" t="n">
        <f aca="false">SUM(G28,I28)</f>
        <v>0.393376151484136</v>
      </c>
      <c r="K28" s="45" t="n">
        <f aca="false">J28+E28-J29</f>
        <v>0.218397881866429</v>
      </c>
      <c r="L28" s="47" t="n">
        <f aca="false">+K28/0.8</f>
        <v>0.272997352333037</v>
      </c>
    </row>
    <row r="29" customFormat="false" ht="12.75" hidden="false" customHeight="false" outlineLevel="0" collapsed="false">
      <c r="A29" s="35" t="s">
        <v>72</v>
      </c>
      <c r="B29" s="43" t="s">
        <v>58</v>
      </c>
      <c r="C29" s="43" t="s">
        <v>62</v>
      </c>
      <c r="D29" s="43" t="s">
        <v>67</v>
      </c>
      <c r="E29" s="48"/>
      <c r="F29" s="43" t="s">
        <v>63</v>
      </c>
      <c r="G29" s="43" t="n">
        <v>0.1986</v>
      </c>
      <c r="H29" s="44" t="n">
        <v>0.006</v>
      </c>
      <c r="I29" s="45" t="n">
        <f aca="false">$I$5/(1-0.006)-$I$5</f>
        <v>0.0263782696177062</v>
      </c>
      <c r="J29" s="45" t="n">
        <f aca="false">SUM(G29,I29)</f>
        <v>0.224978269617706</v>
      </c>
      <c r="K29" s="49"/>
      <c r="L29" s="47"/>
    </row>
    <row r="30" customFormat="false" ht="12.75" hidden="false" customHeight="false" outlineLevel="0" collapsed="false">
      <c r="A30" s="35"/>
      <c r="B30" s="43"/>
      <c r="C30" s="43"/>
      <c r="D30" s="43"/>
      <c r="E30" s="48"/>
      <c r="F30" s="43"/>
      <c r="G30" s="43"/>
      <c r="H30" s="44"/>
      <c r="I30" s="45"/>
      <c r="J30" s="45"/>
      <c r="K30" s="49"/>
      <c r="L30" s="47"/>
    </row>
    <row r="31" customFormat="false" ht="12.75" hidden="false" customHeight="false" outlineLevel="0" collapsed="false">
      <c r="A31" s="35" t="s">
        <v>74</v>
      </c>
      <c r="B31" s="43" t="s">
        <v>58</v>
      </c>
      <c r="C31" s="43" t="s">
        <v>59</v>
      </c>
      <c r="D31" s="43" t="s">
        <v>75</v>
      </c>
      <c r="E31" s="43" t="n">
        <v>0.05</v>
      </c>
      <c r="F31" s="43" t="s">
        <v>61</v>
      </c>
      <c r="G31" s="43" t="n">
        <v>0.19726</v>
      </c>
      <c r="H31" s="44" t="n">
        <v>0.023</v>
      </c>
      <c r="I31" s="45" t="n">
        <f aca="false">$I$5/(1-0.023)-$I$5</f>
        <v>0.102876151484136</v>
      </c>
      <c r="J31" s="45" t="n">
        <f aca="false">SUM(G31,I31)</f>
        <v>0.300136151484136</v>
      </c>
      <c r="K31" s="45" t="n">
        <f aca="false">J31+E31-J32</f>
        <v>0.125157881866429</v>
      </c>
      <c r="L31" s="47" t="n">
        <f aca="false">+K31/0.8</f>
        <v>0.156447352333037</v>
      </c>
    </row>
    <row r="32" customFormat="false" ht="12.75" hidden="false" customHeight="false" outlineLevel="0" collapsed="false">
      <c r="A32" s="35" t="s">
        <v>74</v>
      </c>
      <c r="B32" s="43" t="s">
        <v>58</v>
      </c>
      <c r="C32" s="43" t="s">
        <v>62</v>
      </c>
      <c r="D32" s="43" t="s">
        <v>67</v>
      </c>
      <c r="E32" s="48"/>
      <c r="F32" s="43" t="s">
        <v>63</v>
      </c>
      <c r="G32" s="43" t="n">
        <v>0.1986</v>
      </c>
      <c r="H32" s="44" t="n">
        <v>0.006</v>
      </c>
      <c r="I32" s="45" t="n">
        <f aca="false">$I$5/(1-0.006)-$I$5</f>
        <v>0.0263782696177062</v>
      </c>
      <c r="J32" s="45" t="n">
        <f aca="false">SUM(G32,I32)</f>
        <v>0.224978269617706</v>
      </c>
      <c r="K32" s="49"/>
      <c r="L32" s="47"/>
    </row>
    <row r="33" customFormat="false" ht="12.75" hidden="false" customHeight="false" outlineLevel="0" collapsed="false">
      <c r="A33" s="35"/>
      <c r="B33" s="43"/>
      <c r="C33" s="43"/>
      <c r="D33" s="43"/>
      <c r="E33" s="48"/>
      <c r="F33" s="43"/>
      <c r="G33" s="43"/>
      <c r="H33" s="44"/>
      <c r="I33" s="45"/>
      <c r="J33" s="45"/>
      <c r="K33" s="49"/>
      <c r="L33" s="47"/>
    </row>
    <row r="34" customFormat="false" ht="12.75" hidden="false" customHeight="false" outlineLevel="0" collapsed="false">
      <c r="A34" s="35" t="s">
        <v>76</v>
      </c>
      <c r="B34" s="43" t="s">
        <v>58</v>
      </c>
      <c r="C34" s="43" t="s">
        <v>59</v>
      </c>
      <c r="D34" s="43" t="s">
        <v>77</v>
      </c>
      <c r="E34" s="43" t="n">
        <v>0.05</v>
      </c>
      <c r="F34" s="43" t="s">
        <v>61</v>
      </c>
      <c r="G34" s="43" t="n">
        <v>0.23</v>
      </c>
      <c r="H34" s="44" t="n">
        <v>0.023</v>
      </c>
      <c r="I34" s="45" t="n">
        <f aca="false">$I$5/(1-0.023)-$I$5</f>
        <v>0.102876151484136</v>
      </c>
      <c r="J34" s="45" t="n">
        <f aca="false">SUM(G34,I34)</f>
        <v>0.332876151484136</v>
      </c>
      <c r="K34" s="45" t="n">
        <f aca="false">J34+E34-J35</f>
        <v>0.157897881866429</v>
      </c>
      <c r="L34" s="47" t="n">
        <f aca="false">+K34/0.8</f>
        <v>0.197372352333037</v>
      </c>
    </row>
    <row r="35" customFormat="false" ht="12.75" hidden="false" customHeight="false" outlineLevel="0" collapsed="false">
      <c r="A35" s="35" t="s">
        <v>76</v>
      </c>
      <c r="B35" s="43" t="s">
        <v>58</v>
      </c>
      <c r="C35" s="43" t="s">
        <v>62</v>
      </c>
      <c r="D35" s="43" t="s">
        <v>67</v>
      </c>
      <c r="E35" s="48"/>
      <c r="F35" s="43" t="s">
        <v>63</v>
      </c>
      <c r="G35" s="43" t="n">
        <v>0.1986</v>
      </c>
      <c r="H35" s="44" t="n">
        <v>0.006</v>
      </c>
      <c r="I35" s="45" t="n">
        <f aca="false">$I$5/(1-0.006)-$I$5</f>
        <v>0.0263782696177062</v>
      </c>
      <c r="J35" s="45" t="n">
        <f aca="false">SUM(G35,I35)</f>
        <v>0.224978269617706</v>
      </c>
      <c r="K35" s="49"/>
      <c r="L35" s="47"/>
    </row>
    <row r="36" customFormat="false" ht="12.75" hidden="false" customHeight="false" outlineLevel="0" collapsed="false">
      <c r="A36" s="35"/>
      <c r="B36" s="43"/>
      <c r="C36" s="43"/>
      <c r="D36" s="43"/>
      <c r="E36" s="48"/>
      <c r="F36" s="43"/>
      <c r="G36" s="43"/>
      <c r="H36" s="44"/>
      <c r="I36" s="45"/>
      <c r="J36" s="45"/>
      <c r="K36" s="49"/>
      <c r="L36" s="47"/>
    </row>
    <row r="37" customFormat="false" ht="12.75" hidden="false" customHeight="false" outlineLevel="0" collapsed="false">
      <c r="A37" s="35" t="s">
        <v>78</v>
      </c>
      <c r="B37" s="43" t="s">
        <v>58</v>
      </c>
      <c r="C37" s="43" t="s">
        <v>59</v>
      </c>
      <c r="D37" s="43" t="s">
        <v>79</v>
      </c>
      <c r="E37" s="43" t="n">
        <v>0.05</v>
      </c>
      <c r="F37" s="43" t="s">
        <v>61</v>
      </c>
      <c r="G37" s="43" t="n">
        <f aca="false">0.3573+0.0286</f>
        <v>0.3859</v>
      </c>
      <c r="H37" s="44" t="n">
        <v>0.026</v>
      </c>
      <c r="I37" s="45" t="n">
        <f aca="false">$I$5/(1-0.026)-$I$5</f>
        <v>0.116652977412731</v>
      </c>
      <c r="J37" s="45" t="n">
        <f aca="false">SUM(G37,I37)</f>
        <v>0.502552977412731</v>
      </c>
      <c r="K37" s="45" t="n">
        <f aca="false">J37+E37-J38</f>
        <v>0.327574707795025</v>
      </c>
      <c r="L37" s="47" t="n">
        <f aca="false">+K37/0.8</f>
        <v>0.409468384743782</v>
      </c>
    </row>
    <row r="38" customFormat="false" ht="12.75" hidden="false" customHeight="false" outlineLevel="0" collapsed="false">
      <c r="A38" s="35" t="s">
        <v>78</v>
      </c>
      <c r="B38" s="43" t="s">
        <v>58</v>
      </c>
      <c r="C38" s="43" t="s">
        <v>62</v>
      </c>
      <c r="D38" s="43" t="s">
        <v>67</v>
      </c>
      <c r="E38" s="48"/>
      <c r="F38" s="43" t="s">
        <v>63</v>
      </c>
      <c r="G38" s="43" t="n">
        <v>0.1986</v>
      </c>
      <c r="H38" s="44" t="n">
        <v>0.006</v>
      </c>
      <c r="I38" s="45" t="n">
        <f aca="false">$I$5/(1-0.006)-$I$5</f>
        <v>0.0263782696177062</v>
      </c>
      <c r="J38" s="45" t="n">
        <f aca="false">SUM(G38,I38)</f>
        <v>0.224978269617706</v>
      </c>
      <c r="K38" s="49"/>
      <c r="L38" s="47"/>
    </row>
    <row r="39" customFormat="false" ht="12.75" hidden="false" customHeight="false" outlineLevel="0" collapsed="false">
      <c r="A39" s="35"/>
      <c r="B39" s="43"/>
      <c r="C39" s="43"/>
      <c r="D39" s="43"/>
      <c r="E39" s="48"/>
      <c r="F39" s="43"/>
      <c r="G39" s="43"/>
      <c r="H39" s="44"/>
      <c r="I39" s="45"/>
      <c r="J39" s="45"/>
      <c r="K39" s="49"/>
      <c r="L39" s="47"/>
    </row>
    <row r="40" customFormat="false" ht="12.75" hidden="false" customHeight="false" outlineLevel="0" collapsed="false">
      <c r="A40" s="35" t="s">
        <v>80</v>
      </c>
      <c r="B40" s="43" t="s">
        <v>58</v>
      </c>
      <c r="C40" s="43" t="s">
        <v>59</v>
      </c>
      <c r="D40" s="43" t="s">
        <v>79</v>
      </c>
      <c r="E40" s="43" t="n">
        <v>0.05</v>
      </c>
      <c r="F40" s="43" t="s">
        <v>61</v>
      </c>
      <c r="G40" s="43" t="n">
        <f aca="false">0.3573+0.0286</f>
        <v>0.3859</v>
      </c>
      <c r="H40" s="44" t="n">
        <v>0.026</v>
      </c>
      <c r="I40" s="45" t="n">
        <f aca="false">$I$5/(1-0.026)-$I$5</f>
        <v>0.116652977412731</v>
      </c>
      <c r="J40" s="45" t="n">
        <f aca="false">SUM(G40,I40)</f>
        <v>0.502552977412731</v>
      </c>
      <c r="K40" s="45" t="n">
        <f aca="false">J40+E40-J41</f>
        <v>0.354174707795025</v>
      </c>
      <c r="L40" s="47" t="n">
        <f aca="false">+K40/0.8</f>
        <v>0.442718384743782</v>
      </c>
    </row>
    <row r="41" customFormat="false" ht="12.75" hidden="false" customHeight="false" outlineLevel="0" collapsed="false">
      <c r="A41" s="35" t="s">
        <v>80</v>
      </c>
      <c r="B41" s="43" t="s">
        <v>58</v>
      </c>
      <c r="C41" s="43" t="s">
        <v>62</v>
      </c>
      <c r="D41" s="43" t="s">
        <v>67</v>
      </c>
      <c r="E41" s="48"/>
      <c r="F41" s="43" t="s">
        <v>81</v>
      </c>
      <c r="G41" s="43" t="n">
        <v>0.172</v>
      </c>
      <c r="H41" s="44" t="n">
        <v>0.006</v>
      </c>
      <c r="I41" s="45" t="n">
        <f aca="false">$I$5/(1-0.006)-$I$5</f>
        <v>0.0263782696177062</v>
      </c>
      <c r="J41" s="45" t="n">
        <f aca="false">SUM(G41,I41)</f>
        <v>0.198378269617706</v>
      </c>
      <c r="K41" s="49"/>
      <c r="L41" s="47"/>
    </row>
    <row r="42" customFormat="false" ht="12.75" hidden="false" customHeight="false" outlineLevel="0" collapsed="false">
      <c r="A42" s="35"/>
      <c r="B42" s="43"/>
      <c r="C42" s="43"/>
      <c r="D42" s="43"/>
      <c r="E42" s="48"/>
      <c r="F42" s="43"/>
      <c r="G42" s="43"/>
      <c r="H42" s="44"/>
      <c r="I42" s="45"/>
      <c r="J42" s="45"/>
      <c r="K42" s="49"/>
    </row>
    <row r="43" customFormat="false" ht="12.75" hidden="false" customHeight="false" outlineLevel="0" collapsed="false">
      <c r="A43" s="35" t="s">
        <v>82</v>
      </c>
      <c r="B43" s="43" t="s">
        <v>58</v>
      </c>
      <c r="C43" s="43" t="s">
        <v>59</v>
      </c>
      <c r="D43" s="43" t="s">
        <v>79</v>
      </c>
      <c r="E43" s="43" t="n">
        <v>0.05</v>
      </c>
      <c r="F43" s="43" t="s">
        <v>61</v>
      </c>
      <c r="G43" s="43" t="n">
        <f aca="false">0.3573+0.0286</f>
        <v>0.3859</v>
      </c>
      <c r="H43" s="44" t="n">
        <v>0.026</v>
      </c>
      <c r="I43" s="45" t="n">
        <f aca="false">$I$5/(1-0.026)-$I$5</f>
        <v>0.116652977412731</v>
      </c>
      <c r="J43" s="45" t="n">
        <f aca="false">SUM(G43,I43)</f>
        <v>0.502552977412731</v>
      </c>
      <c r="K43" s="45" t="n">
        <f aca="false">J43+E43-J44</f>
        <v>0.422552977412731</v>
      </c>
      <c r="L43" s="47" t="n">
        <f aca="false">+K43/0.8</f>
        <v>0.528191221765914</v>
      </c>
    </row>
    <row r="44" customFormat="false" ht="12.75" hidden="false" customHeight="false" outlineLevel="0" collapsed="false">
      <c r="A44" s="35" t="s">
        <v>82</v>
      </c>
      <c r="B44" s="43" t="s">
        <v>83</v>
      </c>
      <c r="C44" s="43" t="s">
        <v>1</v>
      </c>
      <c r="D44" s="43" t="s">
        <v>84</v>
      </c>
      <c r="E44" s="48"/>
      <c r="F44" s="43" t="s">
        <v>81</v>
      </c>
      <c r="G44" s="43" t="n">
        <v>0.13</v>
      </c>
      <c r="H44" s="44"/>
      <c r="I44" s="45"/>
      <c r="J44" s="45" t="n">
        <f aca="false">SUM(G44,I44)</f>
        <v>0.13</v>
      </c>
      <c r="K44" s="49"/>
      <c r="L44" s="47"/>
    </row>
    <row r="45" customFormat="false" ht="12.75" hidden="false" customHeight="false" outlineLevel="0" collapsed="false">
      <c r="A45" s="35"/>
      <c r="B45" s="43"/>
      <c r="C45" s="43"/>
      <c r="D45" s="43"/>
      <c r="E45" s="48"/>
      <c r="F45" s="43"/>
      <c r="G45" s="43"/>
      <c r="H45" s="44"/>
      <c r="I45" s="45"/>
      <c r="J45" s="45"/>
      <c r="K45" s="49"/>
    </row>
    <row r="46" customFormat="false" ht="12.75" hidden="false" customHeight="false" outlineLevel="0" collapsed="false">
      <c r="A46" s="35"/>
      <c r="B46" s="43"/>
      <c r="C46" s="43"/>
      <c r="D46" s="43"/>
      <c r="E46" s="48"/>
      <c r="F46" s="43"/>
      <c r="G46" s="43"/>
      <c r="H46" s="44"/>
      <c r="I46" s="45"/>
      <c r="J46" s="45"/>
      <c r="K46" s="49"/>
    </row>
    <row r="47" customFormat="false" ht="12.75" hidden="false" customHeight="false" outlineLevel="0" collapsed="false">
      <c r="A47" s="35"/>
      <c r="B47" s="43"/>
      <c r="C47" s="43"/>
      <c r="D47" s="43"/>
      <c r="E47" s="48"/>
      <c r="F47" s="43"/>
      <c r="G47" s="43"/>
      <c r="H47" s="44"/>
      <c r="I47" s="45"/>
      <c r="J47" s="45"/>
      <c r="K47" s="49"/>
    </row>
    <row r="48" customFormat="false" ht="12.75" hidden="false" customHeight="false" outlineLevel="0" collapsed="false">
      <c r="A48" s="35"/>
      <c r="B48" s="43"/>
      <c r="C48" s="43"/>
      <c r="D48" s="43"/>
      <c r="E48" s="43"/>
      <c r="F48" s="43"/>
      <c r="G48" s="43"/>
      <c r="H48" s="44"/>
      <c r="I48" s="45"/>
      <c r="J48" s="45"/>
      <c r="K48" s="43"/>
    </row>
    <row r="49" customFormat="false" ht="15" hidden="false" customHeight="false" outlineLevel="0" collapsed="false">
      <c r="A49" s="35"/>
      <c r="B49" s="41" t="s">
        <v>85</v>
      </c>
      <c r="C49" s="43"/>
      <c r="D49" s="43"/>
      <c r="E49" s="43"/>
      <c r="F49" s="43"/>
      <c r="G49" s="43"/>
      <c r="H49" s="44"/>
      <c r="I49" s="45"/>
      <c r="J49" s="45"/>
      <c r="K49" s="43"/>
    </row>
    <row r="50" customFormat="false" ht="12.75" hidden="false" customHeight="false" outlineLevel="0" collapsed="false">
      <c r="A50" s="35"/>
      <c r="B50" s="43"/>
      <c r="C50" s="43"/>
      <c r="D50" s="43"/>
      <c r="E50" s="43"/>
      <c r="F50" s="43"/>
      <c r="G50" s="43"/>
      <c r="H50" s="44"/>
      <c r="I50" s="45"/>
      <c r="J50" s="45"/>
      <c r="K50" s="43"/>
    </row>
    <row r="51" customFormat="false" ht="12.75" hidden="false" customHeight="false" outlineLevel="0" collapsed="false">
      <c r="A51" s="35" t="s">
        <v>86</v>
      </c>
      <c r="B51" s="43" t="s">
        <v>58</v>
      </c>
      <c r="C51" s="43" t="s">
        <v>62</v>
      </c>
      <c r="D51" s="43" t="s">
        <v>87</v>
      </c>
      <c r="E51" s="50" t="n">
        <f aca="false">[1]CURVES!H6</f>
        <v>0.0408083333333333</v>
      </c>
      <c r="F51" s="43" t="s">
        <v>63</v>
      </c>
      <c r="G51" s="43" t="n">
        <v>0.1986</v>
      </c>
      <c r="H51" s="44" t="n">
        <v>0.015</v>
      </c>
      <c r="I51" s="45" t="n">
        <f aca="false">$I$5/(1-0.015)-$I$5</f>
        <v>0.0665482233502539</v>
      </c>
      <c r="J51" s="45" t="n">
        <f aca="false">SUM(G51,I51)</f>
        <v>0.265148223350254</v>
      </c>
      <c r="K51" s="45" t="n">
        <f aca="false">E51-J51</f>
        <v>-0.224339890016921</v>
      </c>
    </row>
    <row r="52" customFormat="false" ht="12.75" hidden="false" customHeight="false" outlineLevel="0" collapsed="false">
      <c r="A52" s="35"/>
      <c r="B52" s="43"/>
      <c r="C52" s="43"/>
      <c r="D52" s="43"/>
      <c r="E52" s="49"/>
      <c r="F52" s="43"/>
      <c r="G52" s="43"/>
      <c r="H52" s="44"/>
      <c r="I52" s="45"/>
      <c r="J52" s="45"/>
      <c r="K52" s="45"/>
    </row>
    <row r="53" customFormat="false" ht="12.75" hidden="false" customHeight="false" outlineLevel="0" collapsed="false">
      <c r="A53" s="35" t="s">
        <v>88</v>
      </c>
      <c r="B53" s="43" t="s">
        <v>58</v>
      </c>
      <c r="C53" s="43" t="s">
        <v>62</v>
      </c>
      <c r="D53" s="43" t="s">
        <v>87</v>
      </c>
      <c r="E53" s="50" t="n">
        <f aca="false">[1]CURVES!H6</f>
        <v>0.0408083333333333</v>
      </c>
      <c r="F53" s="43" t="s">
        <v>61</v>
      </c>
      <c r="G53" s="43" t="n">
        <v>0.0176</v>
      </c>
      <c r="H53" s="44" t="n">
        <v>0.015</v>
      </c>
      <c r="I53" s="45" t="n">
        <f aca="false">$I$5/(1-0.015)-$I$5</f>
        <v>0.0665482233502539</v>
      </c>
      <c r="J53" s="45" t="n">
        <f aca="false">SUM(G53,I53)</f>
        <v>0.0841482233502539</v>
      </c>
      <c r="K53" s="45" t="n">
        <f aca="false">E53-J53</f>
        <v>-0.0433398900169206</v>
      </c>
    </row>
    <row r="54" customFormat="false" ht="12.75" hidden="false" customHeight="false" outlineLevel="0" collapsed="false">
      <c r="A54" s="35"/>
      <c r="B54" s="43"/>
      <c r="C54" s="43"/>
      <c r="D54" s="43"/>
      <c r="E54" s="49"/>
      <c r="F54" s="43"/>
      <c r="G54" s="43"/>
      <c r="H54" s="44"/>
      <c r="I54" s="51"/>
      <c r="J54" s="51"/>
      <c r="K54" s="45"/>
    </row>
    <row r="55" customFormat="false" ht="12.75" hidden="false" customHeight="false" outlineLevel="0" collapsed="false">
      <c r="A55" s="35"/>
      <c r="B55" s="43"/>
      <c r="C55" s="43"/>
      <c r="D55" s="43"/>
      <c r="E55" s="49"/>
      <c r="F55" s="43"/>
      <c r="G55" s="43"/>
      <c r="H55" s="44"/>
      <c r="I55" s="45"/>
      <c r="J55" s="45"/>
      <c r="K55" s="45"/>
    </row>
    <row r="56" customFormat="false" ht="12.75" hidden="false" customHeight="false" outlineLevel="0" collapsed="false">
      <c r="A56" s="35" t="s">
        <v>89</v>
      </c>
      <c r="B56" s="43" t="s">
        <v>90</v>
      </c>
      <c r="C56" s="43" t="s">
        <v>91</v>
      </c>
      <c r="D56" s="43" t="s">
        <v>92</v>
      </c>
      <c r="E56" s="48" t="n">
        <f aca="false">[1]CURVES!L6</f>
        <v>0.665416666666667</v>
      </c>
      <c r="F56" s="43" t="s">
        <v>93</v>
      </c>
      <c r="G56" s="43" t="n">
        <v>0.1461</v>
      </c>
      <c r="H56" s="52" t="n">
        <v>0.0153</v>
      </c>
      <c r="I56" s="45" t="n">
        <f aca="false">$I$5/(1-0.0153)-$I$5</f>
        <v>0.0678998679800955</v>
      </c>
      <c r="J56" s="45" t="n">
        <f aca="false">SUM(G56,I56)</f>
        <v>0.213999867980096</v>
      </c>
      <c r="K56" s="53"/>
    </row>
    <row r="57" customFormat="false" ht="12.75" hidden="false" customHeight="false" outlineLevel="0" collapsed="false">
      <c r="A57" s="35" t="s">
        <v>89</v>
      </c>
      <c r="B57" s="43" t="s">
        <v>94</v>
      </c>
      <c r="C57" s="43" t="s">
        <v>95</v>
      </c>
      <c r="D57" s="43" t="s">
        <v>92</v>
      </c>
      <c r="E57" s="48"/>
      <c r="F57" s="43" t="s">
        <v>93</v>
      </c>
      <c r="G57" s="43" t="n">
        <v>0.25</v>
      </c>
      <c r="H57" s="52"/>
      <c r="I57" s="45"/>
      <c r="J57" s="45" t="n">
        <v>0.25</v>
      </c>
      <c r="K57" s="53"/>
    </row>
    <row r="58" customFormat="false" ht="12.75" hidden="false" customHeight="false" outlineLevel="0" collapsed="false">
      <c r="A58" s="35" t="s">
        <v>89</v>
      </c>
      <c r="B58" s="43" t="s">
        <v>58</v>
      </c>
      <c r="C58" s="43" t="s">
        <v>62</v>
      </c>
      <c r="D58" s="43" t="s">
        <v>96</v>
      </c>
      <c r="E58" s="48"/>
      <c r="F58" s="43" t="s">
        <v>63</v>
      </c>
      <c r="G58" s="43" t="n">
        <v>0.1986</v>
      </c>
      <c r="H58" s="44" t="n">
        <v>0.006</v>
      </c>
      <c r="I58" s="45" t="n">
        <f aca="false">$I$5/(1-0.006)-$I$5</f>
        <v>0.0263782696177062</v>
      </c>
      <c r="J58" s="45" t="n">
        <f aca="false">SUM(G58,I58)</f>
        <v>0.224978269617706</v>
      </c>
      <c r="K58" s="53"/>
    </row>
    <row r="59" customFormat="false" ht="12.75" hidden="false" customHeight="false" outlineLevel="0" collapsed="false">
      <c r="A59" s="35"/>
      <c r="B59" s="43"/>
      <c r="C59" s="43"/>
      <c r="D59" s="43"/>
      <c r="E59" s="48"/>
      <c r="F59" s="43"/>
      <c r="G59" s="43"/>
      <c r="H59" s="52"/>
      <c r="I59" s="51" t="s">
        <v>97</v>
      </c>
      <c r="J59" s="51" t="n">
        <f aca="false">SUM(J56:J58)</f>
        <v>0.688978137597802</v>
      </c>
      <c r="K59" s="45" t="n">
        <f aca="false">E56-J59</f>
        <v>-0.0235614709311346</v>
      </c>
    </row>
    <row r="60" customFormat="false" ht="12.75" hidden="false" customHeight="false" outlineLevel="0" collapsed="false">
      <c r="A60" s="35"/>
      <c r="B60" s="43"/>
      <c r="C60" s="43"/>
      <c r="D60" s="43"/>
      <c r="E60" s="48"/>
      <c r="F60" s="43"/>
      <c r="G60" s="43"/>
      <c r="H60" s="52"/>
      <c r="I60" s="45"/>
      <c r="J60" s="45"/>
      <c r="K60" s="53"/>
    </row>
    <row r="61" customFormat="false" ht="12.75" hidden="false" customHeight="false" outlineLevel="0" collapsed="false">
      <c r="A61" s="35"/>
      <c r="B61" s="43"/>
      <c r="C61" s="43"/>
      <c r="D61" s="43"/>
      <c r="E61" s="48"/>
      <c r="F61" s="43"/>
      <c r="G61" s="43"/>
      <c r="H61" s="52"/>
      <c r="I61" s="45"/>
      <c r="J61" s="45"/>
      <c r="K61" s="53"/>
    </row>
    <row r="62" customFormat="false" ht="12.75" hidden="false" customHeight="false" outlineLevel="0" collapsed="false">
      <c r="A62" s="35" t="s">
        <v>98</v>
      </c>
      <c r="B62" s="43" t="s">
        <v>90</v>
      </c>
      <c r="C62" s="43" t="s">
        <v>91</v>
      </c>
      <c r="D62" s="43" t="s">
        <v>92</v>
      </c>
      <c r="E62" s="48" t="n">
        <f aca="false">[1]CURVES!L6</f>
        <v>0.665416666666667</v>
      </c>
      <c r="F62" s="43" t="s">
        <v>61</v>
      </c>
      <c r="G62" s="43" t="n">
        <v>0.1614</v>
      </c>
      <c r="H62" s="52" t="n">
        <v>0.0153</v>
      </c>
      <c r="I62" s="45" t="n">
        <f aca="false">$I$5/(1-0.0153)-$I$5</f>
        <v>0.0678998679800955</v>
      </c>
      <c r="J62" s="45" t="n">
        <f aca="false">SUM(G62,I62)</f>
        <v>0.229299867980096</v>
      </c>
      <c r="K62" s="53"/>
    </row>
    <row r="63" customFormat="false" ht="12.75" hidden="false" customHeight="false" outlineLevel="0" collapsed="false">
      <c r="A63" s="35" t="s">
        <v>98</v>
      </c>
      <c r="B63" s="43" t="s">
        <v>94</v>
      </c>
      <c r="C63" s="43" t="s">
        <v>95</v>
      </c>
      <c r="D63" s="43" t="s">
        <v>92</v>
      </c>
      <c r="E63" s="43"/>
      <c r="F63" s="43" t="s">
        <v>63</v>
      </c>
      <c r="G63" s="43" t="n">
        <v>0.25</v>
      </c>
      <c r="H63" s="44"/>
      <c r="I63" s="45"/>
      <c r="J63" s="45" t="n">
        <v>0.25</v>
      </c>
      <c r="K63" s="43"/>
    </row>
    <row r="64" customFormat="false" ht="12.75" hidden="false" customHeight="false" outlineLevel="0" collapsed="false">
      <c r="A64" s="35" t="s">
        <v>98</v>
      </c>
      <c r="B64" s="43" t="s">
        <v>58</v>
      </c>
      <c r="C64" s="43" t="s">
        <v>62</v>
      </c>
      <c r="D64" s="43" t="s">
        <v>96</v>
      </c>
      <c r="E64" s="48"/>
      <c r="F64" s="43" t="s">
        <v>63</v>
      </c>
      <c r="G64" s="43" t="n">
        <v>0.1986</v>
      </c>
      <c r="H64" s="44" t="n">
        <v>0.006</v>
      </c>
      <c r="I64" s="45" t="n">
        <f aca="false">$I$5/(1-0.006)-$I$5</f>
        <v>0.0263782696177062</v>
      </c>
      <c r="J64" s="45" t="n">
        <f aca="false">SUM(G64,I64)</f>
        <v>0.224978269617706</v>
      </c>
      <c r="K64" s="49"/>
    </row>
    <row r="65" customFormat="false" ht="12.75" hidden="false" customHeight="false" outlineLevel="0" collapsed="false">
      <c r="A65" s="35"/>
      <c r="B65" s="43"/>
      <c r="C65" s="43"/>
      <c r="D65" s="43"/>
      <c r="E65" s="43"/>
      <c r="F65" s="43"/>
      <c r="G65" s="43"/>
      <c r="H65" s="43"/>
      <c r="I65" s="51" t="s">
        <v>97</v>
      </c>
      <c r="J65" s="51" t="n">
        <f aca="false">SUM(J62:J64)</f>
        <v>0.704278137597802</v>
      </c>
      <c r="K65" s="45" t="n">
        <f aca="false">E62-J65</f>
        <v>-0.0388614709311346</v>
      </c>
    </row>
    <row r="66" customFormat="false" ht="12.75" hidden="false" customHeight="false" outlineLevel="0" collapsed="false">
      <c r="A66" s="35"/>
      <c r="B66" s="43"/>
      <c r="C66" s="43"/>
      <c r="D66" s="43"/>
      <c r="E66" s="43"/>
      <c r="F66" s="43"/>
      <c r="G66" s="43"/>
      <c r="H66" s="43"/>
      <c r="I66" s="51"/>
      <c r="J66" s="51"/>
      <c r="K66" s="45"/>
    </row>
    <row r="67" customFormat="false" ht="12.75" hidden="false" customHeight="false" outlineLevel="0" collapsed="false"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customFormat="false" ht="12.75" hidden="false" customHeight="false" outlineLevel="0" collapsed="false">
      <c r="A68" s="35" t="s">
        <v>99</v>
      </c>
      <c r="B68" s="43" t="s">
        <v>90</v>
      </c>
      <c r="C68" s="43" t="s">
        <v>91</v>
      </c>
      <c r="D68" s="43" t="s">
        <v>92</v>
      </c>
      <c r="E68" s="48" t="n">
        <f aca="false">[1]CURVES!L6</f>
        <v>0.665416666666667</v>
      </c>
      <c r="F68" s="43" t="s">
        <v>61</v>
      </c>
      <c r="G68" s="43" t="n">
        <v>0.0211</v>
      </c>
      <c r="H68" s="52" t="n">
        <v>0.0153</v>
      </c>
      <c r="I68" s="45" t="n">
        <f aca="false">$I$5/(1-0.0153)-$I$5</f>
        <v>0.0678998679800955</v>
      </c>
      <c r="J68" s="45" t="n">
        <f aca="false">SUM(G68,I68)</f>
        <v>0.0889998679800955</v>
      </c>
      <c r="K68" s="53"/>
    </row>
    <row r="69" customFormat="false" ht="12.75" hidden="false" customHeight="false" outlineLevel="0" collapsed="false">
      <c r="A69" s="35" t="s">
        <v>99</v>
      </c>
      <c r="B69" s="43" t="s">
        <v>90</v>
      </c>
      <c r="C69" s="43" t="s">
        <v>100</v>
      </c>
      <c r="D69" s="43" t="s">
        <v>92</v>
      </c>
      <c r="E69" s="43"/>
      <c r="F69" s="43" t="s">
        <v>61</v>
      </c>
      <c r="G69" s="43" t="n">
        <v>0.0347</v>
      </c>
      <c r="H69" s="52" t="n">
        <v>0.0388</v>
      </c>
      <c r="I69" s="45" t="n">
        <f aca="false">$I$5/(1-0.0388)-$I$5</f>
        <v>0.176400332917186</v>
      </c>
      <c r="J69" s="45" t="n">
        <f aca="false">SUM(G69,I69)</f>
        <v>0.211100332917186</v>
      </c>
      <c r="K69" s="43"/>
    </row>
    <row r="70" customFormat="false" ht="12.75" hidden="false" customHeight="false" outlineLevel="0" collapsed="false">
      <c r="A70" s="35"/>
      <c r="B70" s="43"/>
      <c r="C70" s="43"/>
      <c r="D70" s="43"/>
      <c r="E70" s="43"/>
      <c r="F70" s="43"/>
      <c r="G70" s="43"/>
      <c r="H70" s="43"/>
      <c r="I70" s="55" t="s">
        <v>101</v>
      </c>
      <c r="J70" s="51" t="n">
        <f aca="false">J69-J68</f>
        <v>0.122100464937091</v>
      </c>
      <c r="K70" s="43"/>
    </row>
    <row r="71" customFormat="false" ht="12.75" hidden="false" customHeight="false" outlineLevel="0" collapsed="false">
      <c r="A71" s="35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customFormat="false" ht="12.75" hidden="false" customHeight="false" outlineLevel="0" collapsed="false">
      <c r="A72" s="35" t="s">
        <v>102</v>
      </c>
      <c r="B72" s="43" t="s">
        <v>90</v>
      </c>
      <c r="C72" s="43" t="s">
        <v>91</v>
      </c>
      <c r="D72" s="43" t="s">
        <v>103</v>
      </c>
      <c r="E72" s="48" t="n">
        <f aca="false">[1]CURVES!D6</f>
        <v>0.714583333333334</v>
      </c>
      <c r="F72" s="43" t="s">
        <v>61</v>
      </c>
      <c r="G72" s="43" t="n">
        <v>0.0257</v>
      </c>
      <c r="H72" s="52" t="n">
        <v>0.0237</v>
      </c>
      <c r="I72" s="45" t="n">
        <f aca="false">$I$5/(1-0.0237)-$I$5</f>
        <v>0.106083171156407</v>
      </c>
      <c r="J72" s="45" t="n">
        <f aca="false">SUM(G72,I72)</f>
        <v>0.131783171156407</v>
      </c>
      <c r="K72" s="43"/>
    </row>
    <row r="73" customFormat="false" ht="12.75" hidden="false" customHeight="false" outlineLevel="0" collapsed="false">
      <c r="A73" s="35" t="s">
        <v>102</v>
      </c>
      <c r="B73" s="43" t="s">
        <v>90</v>
      </c>
      <c r="C73" s="43" t="s">
        <v>100</v>
      </c>
      <c r="D73" s="43" t="s">
        <v>103</v>
      </c>
      <c r="E73" s="43"/>
      <c r="F73" s="43" t="s">
        <v>61</v>
      </c>
      <c r="G73" s="43" t="n">
        <v>0.0393</v>
      </c>
      <c r="H73" s="52" t="n">
        <v>0.0472</v>
      </c>
      <c r="I73" s="45" t="n">
        <f aca="false">$I$5/(1-0.0472)-$I$5</f>
        <v>0.216481947942905</v>
      </c>
      <c r="J73" s="45" t="n">
        <f aca="false">SUM(G73,I73)</f>
        <v>0.255781947942905</v>
      </c>
      <c r="K73" s="43"/>
    </row>
    <row r="74" customFormat="false" ht="12.75" hidden="false" customHeight="false" outlineLevel="0" collapsed="false">
      <c r="A74" s="35"/>
      <c r="B74" s="43"/>
      <c r="C74" s="43"/>
      <c r="D74" s="43"/>
      <c r="E74" s="43"/>
      <c r="F74" s="35"/>
      <c r="G74" s="43"/>
      <c r="H74" s="43"/>
      <c r="I74" s="55" t="s">
        <v>101</v>
      </c>
      <c r="J74" s="51" t="n">
        <f aca="false">J73-J72</f>
        <v>0.123998776786498</v>
      </c>
      <c r="K74" s="43"/>
    </row>
    <row r="75" customFormat="false" ht="12.75" hidden="false" customHeight="false" outlineLevel="0" collapsed="false">
      <c r="A75" s="35"/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customFormat="false" ht="12.75" hidden="false" customHeight="false" outlineLevel="0" collapsed="false">
      <c r="A76" s="35"/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customFormat="false" ht="12.75" hidden="false" customHeight="false" outlineLevel="0" collapsed="false">
      <c r="A77" s="35"/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customFormat="false" ht="12.75" hidden="false" customHeight="false" outlineLevel="0" collapsed="false">
      <c r="A78" s="35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customFormat="false" ht="12.75" hidden="false" customHeight="false" outlineLevel="0" collapsed="false">
      <c r="A79" s="35"/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 customFormat="false" ht="12.75" hidden="false" customHeight="false" outlineLevel="0" collapsed="false">
      <c r="A80" s="35"/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customFormat="false" ht="12" hidden="false" customHeight="false" outlineLevel="0" collapsed="false">
      <c r="A81" s="35"/>
      <c r="B81" s="43"/>
      <c r="C81" s="43"/>
      <c r="D81" s="43"/>
      <c r="E81" s="43"/>
      <c r="F81" s="43"/>
      <c r="G81" s="43"/>
      <c r="H81" s="43"/>
      <c r="I81" s="43"/>
      <c r="J81" s="43"/>
      <c r="K81" s="43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</row>
    <row r="82" customFormat="false" ht="12" hidden="false" customHeight="false" outlineLevel="0" collapsed="false">
      <c r="A82" s="35"/>
      <c r="B82" s="43"/>
      <c r="C82" s="43"/>
      <c r="D82" s="43"/>
      <c r="E82" s="43"/>
      <c r="F82" s="43"/>
      <c r="G82" s="43"/>
      <c r="H82" s="43"/>
      <c r="I82" s="43"/>
      <c r="J82" s="43"/>
      <c r="K82" s="43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</row>
    <row r="83" customFormat="false" ht="12.75" hidden="false" customHeight="false" outlineLevel="0" collapsed="false"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customFormat="false" ht="15" hidden="false" customHeight="false" outlineLevel="0" collapsed="false">
      <c r="B84" s="54"/>
      <c r="C84" s="54"/>
      <c r="D84" s="54"/>
      <c r="E84" s="56" t="s">
        <v>104</v>
      </c>
      <c r="F84" s="54"/>
      <c r="G84" s="54"/>
      <c r="H84" s="54"/>
      <c r="I84" s="54"/>
      <c r="J84" s="54"/>
      <c r="K84" s="54"/>
    </row>
    <row r="85" customFormat="false" ht="12.75" hidden="false" customHeight="false" outlineLevel="0" collapsed="false"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customFormat="false" ht="12.75" hidden="false" customHeight="false" outlineLevel="0" collapsed="false"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customFormat="false" ht="12.75" hidden="false" customHeight="false" outlineLevel="0" collapsed="false">
      <c r="B87" s="54"/>
      <c r="C87" s="54"/>
      <c r="D87" s="54"/>
      <c r="E87" s="57" t="s">
        <v>105</v>
      </c>
      <c r="F87" s="54"/>
      <c r="G87" s="54"/>
      <c r="H87" s="54"/>
      <c r="I87" s="54"/>
      <c r="J87" s="54"/>
      <c r="K87" s="54"/>
    </row>
    <row r="88" customFormat="false" ht="12.75" hidden="false" customHeight="false" outlineLevel="0" collapsed="false">
      <c r="B88" s="54" t="s">
        <v>90</v>
      </c>
      <c r="C88" s="54" t="s">
        <v>106</v>
      </c>
      <c r="D88" s="54" t="s">
        <v>107</v>
      </c>
      <c r="E88" s="58" t="n">
        <f aca="false">[1]CURVES!H6</f>
        <v>0.0408083333333333</v>
      </c>
      <c r="F88" s="54"/>
      <c r="G88" s="54"/>
      <c r="H88" s="54"/>
      <c r="I88" s="54"/>
      <c r="J88" s="54"/>
      <c r="K88" s="54"/>
    </row>
    <row r="89" customFormat="false" ht="12.75" hidden="false" customHeight="false" outlineLevel="0" collapsed="false">
      <c r="B89" s="54"/>
      <c r="C89" s="54"/>
      <c r="D89" s="54"/>
      <c r="E89" s="58"/>
      <c r="F89" s="54"/>
      <c r="G89" s="54"/>
      <c r="H89" s="54"/>
      <c r="I89" s="54"/>
      <c r="J89" s="54"/>
      <c r="K89" s="54"/>
    </row>
    <row r="90" customFormat="false" ht="12.75" hidden="false" customHeight="false" outlineLevel="0" collapsed="false">
      <c r="B90" s="54"/>
      <c r="C90" s="54"/>
      <c r="D90" s="54"/>
      <c r="E90" s="58"/>
      <c r="F90" s="54"/>
      <c r="G90" s="54"/>
      <c r="H90" s="54"/>
      <c r="I90" s="54"/>
      <c r="J90" s="54"/>
      <c r="K90" s="54"/>
    </row>
    <row r="91" customFormat="false" ht="51" hidden="false" customHeight="false" outlineLevel="0" collapsed="false">
      <c r="B91" s="54"/>
      <c r="C91" s="54"/>
      <c r="D91" s="54"/>
      <c r="E91" s="57" t="s">
        <v>108</v>
      </c>
      <c r="F91" s="54"/>
      <c r="G91" s="54"/>
      <c r="H91" s="54"/>
      <c r="I91" s="54"/>
      <c r="J91" s="54"/>
      <c r="K91" s="59" t="s">
        <v>109</v>
      </c>
    </row>
    <row r="92" customFormat="false" ht="12.75" hidden="false" customHeight="false" outlineLevel="0" collapsed="false">
      <c r="B92" s="54" t="s">
        <v>90</v>
      </c>
      <c r="C92" s="54" t="s">
        <v>91</v>
      </c>
      <c r="D92" s="54" t="s">
        <v>92</v>
      </c>
      <c r="E92" s="58" t="n">
        <f aca="false">[1]CURVES!L6</f>
        <v>0.665416666666667</v>
      </c>
      <c r="F92" s="54" t="s">
        <v>110</v>
      </c>
      <c r="G92" s="54" t="n">
        <v>0.0211</v>
      </c>
      <c r="H92" s="60" t="n">
        <v>0.0153</v>
      </c>
      <c r="I92" s="61" t="n">
        <f aca="false">$I$5/(1-0.0153)-$I$5</f>
        <v>0.0678998679800955</v>
      </c>
      <c r="J92" s="61" t="n">
        <f aca="false">SUM(G92,I92)</f>
        <v>0.0889998679800955</v>
      </c>
      <c r="K92" s="62" t="n">
        <f aca="false">E92-J92</f>
        <v>0.576416798686572</v>
      </c>
    </row>
    <row r="93" customFormat="false" ht="12.75" hidden="false" customHeight="false" outlineLevel="0" collapsed="false">
      <c r="B93" s="54" t="s">
        <v>90</v>
      </c>
      <c r="C93" s="54" t="s">
        <v>91</v>
      </c>
      <c r="D93" s="54" t="s">
        <v>111</v>
      </c>
      <c r="E93" s="58" t="n">
        <f aca="false">[1]CURVES!D6</f>
        <v>0.714583333333334</v>
      </c>
      <c r="F93" s="54" t="s">
        <v>112</v>
      </c>
      <c r="G93" s="54" t="n">
        <v>0.0257</v>
      </c>
      <c r="H93" s="60" t="n">
        <v>0.0237</v>
      </c>
      <c r="I93" s="61" t="n">
        <f aca="false">$I$5/(1-0.0237)-$I$5</f>
        <v>0.106083171156407</v>
      </c>
      <c r="J93" s="61" t="n">
        <f aca="false">SUM(G93,I93)</f>
        <v>0.131783171156407</v>
      </c>
      <c r="K93" s="63" t="n">
        <f aca="false">E93-J93</f>
        <v>0.582800162176926</v>
      </c>
    </row>
    <row r="94" customFormat="false" ht="12.75" hidden="false" customHeight="false" outlineLevel="0" collapsed="false"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customFormat="false" ht="12.75" hidden="false" customHeight="false" outlineLevel="0" collapsed="false">
      <c r="B95" s="54" t="s">
        <v>94</v>
      </c>
      <c r="C95" s="54" t="s">
        <v>95</v>
      </c>
      <c r="D95" s="54" t="s">
        <v>92</v>
      </c>
      <c r="E95" s="54"/>
      <c r="F95" s="54"/>
      <c r="G95" s="54"/>
      <c r="H95" s="54"/>
      <c r="I95" s="54" t="s">
        <v>113</v>
      </c>
      <c r="J95" s="54" t="n">
        <v>0.25</v>
      </c>
      <c r="K95" s="54"/>
    </row>
    <row r="96" customFormat="false" ht="12.75" hidden="false" customHeight="false" outlineLevel="0" collapsed="false"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customFormat="false" ht="12.75" hidden="false" customHeight="false" outlineLevel="0" collapsed="false">
      <c r="B97" s="54"/>
      <c r="C97" s="54"/>
      <c r="D97" s="54"/>
      <c r="E97" s="54"/>
      <c r="F97" s="64"/>
      <c r="G97" s="65"/>
      <c r="H97" s="65" t="s">
        <v>114</v>
      </c>
      <c r="I97" s="66" t="s">
        <v>114</v>
      </c>
      <c r="J97" s="54"/>
      <c r="K97" s="54"/>
    </row>
    <row r="98" customFormat="false" ht="12.75" hidden="false" customHeight="false" outlineLevel="0" collapsed="false">
      <c r="B98" s="54" t="s">
        <v>115</v>
      </c>
      <c r="C98" s="54" t="s">
        <v>116</v>
      </c>
      <c r="D98" s="54" t="s">
        <v>117</v>
      </c>
      <c r="E98" s="54"/>
      <c r="F98" s="67"/>
      <c r="G98" s="54" t="s">
        <v>118</v>
      </c>
      <c r="H98" s="58" t="s">
        <v>119</v>
      </c>
      <c r="I98" s="68" t="s">
        <v>120</v>
      </c>
      <c r="J98" s="54"/>
      <c r="K98" s="54"/>
    </row>
    <row r="99" customFormat="false" ht="12.75" hidden="false" customHeight="false" outlineLevel="0" collapsed="false">
      <c r="B99" s="54" t="s">
        <v>121</v>
      </c>
      <c r="C99" s="54" t="s">
        <v>115</v>
      </c>
      <c r="D99" s="54" t="s">
        <v>122</v>
      </c>
      <c r="E99" s="54"/>
      <c r="F99" s="67" t="s">
        <v>123</v>
      </c>
      <c r="G99" s="54" t="s">
        <v>124</v>
      </c>
      <c r="H99" s="54" t="n">
        <v>0.186</v>
      </c>
      <c r="I99" s="68" t="n">
        <v>0.1204</v>
      </c>
      <c r="J99" s="54"/>
      <c r="K99" s="54"/>
    </row>
    <row r="100" customFormat="false" ht="12.75" hidden="false" customHeight="false" outlineLevel="0" collapsed="false">
      <c r="B100" s="54"/>
      <c r="C100" s="54"/>
      <c r="D100" s="54"/>
      <c r="E100" s="54"/>
      <c r="F100" s="69"/>
      <c r="G100" s="70" t="s">
        <v>125</v>
      </c>
      <c r="H100" s="70"/>
      <c r="I100" s="71" t="n">
        <f aca="false">H99-I99</f>
        <v>0.0656</v>
      </c>
      <c r="J100" s="54"/>
    </row>
    <row r="102" customFormat="false" ht="12.75" hidden="false" customHeight="false" outlineLevel="0" collapsed="false">
      <c r="F102" s="64"/>
      <c r="G102" s="65"/>
      <c r="H102" s="65" t="s">
        <v>114</v>
      </c>
      <c r="I102" s="66" t="s">
        <v>114</v>
      </c>
    </row>
    <row r="103" customFormat="false" ht="12.75" hidden="false" customHeight="false" outlineLevel="0" collapsed="false">
      <c r="F103" s="67"/>
      <c r="G103" s="54" t="s">
        <v>118</v>
      </c>
      <c r="H103" s="58" t="s">
        <v>126</v>
      </c>
      <c r="I103" s="68" t="s">
        <v>127</v>
      </c>
    </row>
    <row r="104" customFormat="false" ht="12.75" hidden="false" customHeight="false" outlineLevel="0" collapsed="false">
      <c r="F104" s="67" t="s">
        <v>123</v>
      </c>
      <c r="G104" s="54" t="s">
        <v>124</v>
      </c>
      <c r="H104" s="54" t="n">
        <v>0.1502</v>
      </c>
      <c r="I104" s="68" t="n">
        <v>0.0817</v>
      </c>
    </row>
    <row r="105" customFormat="false" ht="12.75" hidden="false" customHeight="false" outlineLevel="0" collapsed="false">
      <c r="F105" s="69"/>
      <c r="G105" s="70" t="s">
        <v>125</v>
      </c>
      <c r="H105" s="70"/>
      <c r="I105" s="71" t="n">
        <f aca="false">H104-I104</f>
        <v>0.0685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3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10" width="9.14"/>
    <col collapsed="false" customWidth="true" hidden="false" outlineLevel="0" max="7" min="4" style="1" width="9.14"/>
    <col collapsed="false" customWidth="true" hidden="false" outlineLevel="0" max="8" min="8" style="0" width="5.41"/>
    <col collapsed="false" customWidth="true" hidden="false" outlineLevel="0" max="10" min="10" style="0" width="8.41"/>
    <col collapsed="false" customWidth="true" hidden="false" outlineLevel="0" max="11" min="11" style="0" width="8.7"/>
    <col collapsed="false" customWidth="true" hidden="false" outlineLevel="0" max="12" min="12" style="0" width="3.85"/>
  </cols>
  <sheetData>
    <row r="1" customFormat="false" ht="12.75" hidden="false" customHeight="false" outlineLevel="0" collapsed="false">
      <c r="B1" s="2" t="s">
        <v>128</v>
      </c>
    </row>
    <row r="2" customFormat="false" ht="12.75" hidden="false" customHeight="false" outlineLevel="0" collapsed="false">
      <c r="F2" s="72" t="n">
        <f aca="false">+J11</f>
        <v>0.422695</v>
      </c>
      <c r="G2" s="73" t="n">
        <f aca="false">+K11</f>
        <v>0.40303</v>
      </c>
    </row>
    <row r="3" customFormat="false" ht="12.75" hidden="false" customHeight="false" outlineLevel="0" collapsed="false">
      <c r="B3" s="2" t="s">
        <v>129</v>
      </c>
      <c r="C3" s="74" t="n">
        <v>0.8</v>
      </c>
      <c r="D3" s="74" t="n">
        <v>0.2</v>
      </c>
      <c r="E3" s="74" t="n">
        <f aca="false">+D3+C3</f>
        <v>1</v>
      </c>
      <c r="F3" s="75" t="s">
        <v>130</v>
      </c>
      <c r="G3" s="75" t="s">
        <v>131</v>
      </c>
    </row>
    <row r="4" customFormat="false" ht="12.75" hidden="false" customHeight="false" outlineLevel="0" collapsed="false">
      <c r="B4" s="0" t="s">
        <v>132</v>
      </c>
      <c r="C4" s="76" t="n">
        <v>0.225</v>
      </c>
      <c r="D4" s="77" t="n">
        <v>0.225</v>
      </c>
      <c r="E4" s="78" t="n">
        <f aca="false">+($C$3*C4)+($D$3*D4)</f>
        <v>0.225</v>
      </c>
      <c r="F4" s="79" t="n">
        <f aca="false">+$F$2-E4</f>
        <v>0.197695</v>
      </c>
      <c r="G4" s="80" t="n">
        <f aca="false">+$G$2-E4</f>
        <v>0.17803</v>
      </c>
      <c r="J4" s="0" t="s">
        <v>133</v>
      </c>
      <c r="K4" s="0" t="s">
        <v>134</v>
      </c>
    </row>
    <row r="5" customFormat="false" ht="12.75" hidden="false" customHeight="false" outlineLevel="0" collapsed="false">
      <c r="B5" s="0" t="s">
        <v>135</v>
      </c>
      <c r="C5" s="81" t="n">
        <v>0.225</v>
      </c>
      <c r="D5" s="82" t="n">
        <v>0.225</v>
      </c>
      <c r="E5" s="10" t="n">
        <f aca="false">+($C$3*C5)+($D$3*D5)</f>
        <v>0.225</v>
      </c>
      <c r="F5" s="83" t="n">
        <f aca="false">+$F$2-E5</f>
        <v>0.197695</v>
      </c>
      <c r="G5" s="84" t="n">
        <f aca="false">+$G$2-E5</f>
        <v>0.17803</v>
      </c>
      <c r="J5" s="26" t="s">
        <v>136</v>
      </c>
      <c r="K5" s="26" t="s">
        <v>137</v>
      </c>
    </row>
    <row r="6" customFormat="false" ht="12.75" hidden="false" customHeight="false" outlineLevel="0" collapsed="false">
      <c r="B6" s="85" t="s">
        <v>138</v>
      </c>
      <c r="C6" s="81" t="n">
        <v>0.225</v>
      </c>
      <c r="D6" s="82" t="n">
        <v>0.225</v>
      </c>
      <c r="E6" s="10" t="n">
        <f aca="false">+($C$3*C6)+($D$3*D6)</f>
        <v>0.225</v>
      </c>
      <c r="F6" s="83" t="n">
        <f aca="false">+$F$2-E6</f>
        <v>0.197695</v>
      </c>
      <c r="G6" s="84" t="n">
        <f aca="false">+$G$2-E6</f>
        <v>0.17803</v>
      </c>
      <c r="I6" s="0" t="s">
        <v>139</v>
      </c>
      <c r="J6" s="86" t="n">
        <v>0.32</v>
      </c>
      <c r="K6" s="87" t="n">
        <v>0.27</v>
      </c>
    </row>
    <row r="7" customFormat="false" ht="12.75" hidden="false" customHeight="false" outlineLevel="0" collapsed="false">
      <c r="B7" s="85" t="s">
        <v>140</v>
      </c>
      <c r="C7" s="88" t="n">
        <v>0.134</v>
      </c>
      <c r="D7" s="21" t="n">
        <f aca="false">0.011+0.0004+0.004+0.0022+(4.37*0.006)+0.09</f>
        <v>0.13382</v>
      </c>
      <c r="E7" s="10" t="n">
        <f aca="false">+($C$3*C7)+($D$3*D7)</f>
        <v>0.133964</v>
      </c>
      <c r="F7" s="83" t="n">
        <f aca="false">+$F$2-E7</f>
        <v>0.288731</v>
      </c>
      <c r="G7" s="84" t="n">
        <f aca="false">+$G$2-E7</f>
        <v>0.269066</v>
      </c>
      <c r="I7" s="0" t="s">
        <v>141</v>
      </c>
      <c r="J7" s="89" t="n">
        <v>0.0235</v>
      </c>
      <c r="K7" s="90" t="n">
        <v>0.019</v>
      </c>
    </row>
    <row r="8" customFormat="false" ht="12.75" hidden="false" customHeight="false" outlineLevel="0" collapsed="false">
      <c r="B8" s="85" t="s">
        <v>142</v>
      </c>
      <c r="C8" s="88" t="n">
        <v>0.134</v>
      </c>
      <c r="D8" s="21" t="n">
        <f aca="false">0.011+0.0004+0.004+0.0022+(4.37*0.006)+0.09</f>
        <v>0.13382</v>
      </c>
      <c r="E8" s="10" t="n">
        <f aca="false">+($C$3*C8)+($D$3*D8)</f>
        <v>0.133964</v>
      </c>
      <c r="F8" s="83" t="n">
        <f aca="false">+$F$2-E8</f>
        <v>0.288731</v>
      </c>
      <c r="G8" s="84" t="n">
        <f aca="false">+$G$2-E8</f>
        <v>0.269066</v>
      </c>
      <c r="I8" s="0" t="s">
        <v>143</v>
      </c>
      <c r="J8" s="88" t="n">
        <f aca="false">+J7*4.37</f>
        <v>0.102695</v>
      </c>
      <c r="K8" s="21" t="n">
        <f aca="false">+K7*4.37</f>
        <v>0.08303</v>
      </c>
    </row>
    <row r="9" customFormat="false" ht="12.75" hidden="false" customHeight="false" outlineLevel="0" collapsed="false">
      <c r="B9" s="0" t="s">
        <v>144</v>
      </c>
      <c r="C9" s="88" t="n">
        <v>0.134</v>
      </c>
      <c r="D9" s="21" t="n">
        <v>0.134</v>
      </c>
      <c r="E9" s="10" t="n">
        <f aca="false">+($C$3*C9)+($D$3*D9)</f>
        <v>0.134</v>
      </c>
      <c r="F9" s="83" t="n">
        <f aca="false">+$F$2-E9</f>
        <v>0.288695</v>
      </c>
      <c r="G9" s="84" t="n">
        <f aca="false">+$G$2-E9</f>
        <v>0.26903</v>
      </c>
      <c r="I9" s="0" t="s">
        <v>145</v>
      </c>
      <c r="J9" s="91" t="n">
        <f aca="false">+J6+J8</f>
        <v>0.422695</v>
      </c>
      <c r="K9" s="92" t="n">
        <f aca="false">+K6+K8</f>
        <v>0.35303</v>
      </c>
    </row>
    <row r="10" customFormat="false" ht="12.75" hidden="false" customHeight="false" outlineLevel="0" collapsed="false">
      <c r="B10" s="0" t="s">
        <v>146</v>
      </c>
      <c r="C10" s="88" t="n">
        <v>0.134</v>
      </c>
      <c r="D10" s="21" t="n">
        <v>0.134</v>
      </c>
      <c r="E10" s="10" t="n">
        <f aca="false">+($C$3*C10)+($D$3*D10)</f>
        <v>0.134</v>
      </c>
      <c r="F10" s="83" t="n">
        <f aca="false">+$F$2-E10</f>
        <v>0.288695</v>
      </c>
      <c r="G10" s="84" t="n">
        <f aca="false">+$G$2-E10</f>
        <v>0.26903</v>
      </c>
      <c r="I10" s="0" t="s">
        <v>19</v>
      </c>
      <c r="J10" s="93" t="n">
        <v>0</v>
      </c>
      <c r="K10" s="94" t="n">
        <v>0.05</v>
      </c>
    </row>
    <row r="11" customFormat="false" ht="12.75" hidden="false" customHeight="false" outlineLevel="0" collapsed="false">
      <c r="B11" s="0" t="s">
        <v>147</v>
      </c>
      <c r="C11" s="88" t="n">
        <v>0.134</v>
      </c>
      <c r="D11" s="21" t="n">
        <v>0.134</v>
      </c>
      <c r="E11" s="10" t="n">
        <f aca="false">+($C$3*C11)+($D$3*D11)</f>
        <v>0.134</v>
      </c>
      <c r="F11" s="83" t="n">
        <f aca="false">+$F$2-E11</f>
        <v>0.288695</v>
      </c>
      <c r="G11" s="84" t="n">
        <f aca="false">+$G$2-E11</f>
        <v>0.26903</v>
      </c>
      <c r="I11" s="0" t="s">
        <v>16</v>
      </c>
      <c r="J11" s="95" t="n">
        <f aca="false">+J9</f>
        <v>0.422695</v>
      </c>
      <c r="K11" s="95" t="n">
        <f aca="false">+K9+K10</f>
        <v>0.40303</v>
      </c>
    </row>
    <row r="12" customFormat="false" ht="12.75" hidden="false" customHeight="false" outlineLevel="0" collapsed="false">
      <c r="B12" s="85" t="s">
        <v>148</v>
      </c>
      <c r="C12" s="88" t="n">
        <v>0.134</v>
      </c>
      <c r="D12" s="21" t="n">
        <f aca="false">0.011+0.0004+0.004+0.0022+(4.37*0.006)+0.09</f>
        <v>0.13382</v>
      </c>
      <c r="E12" s="10" t="n">
        <f aca="false">+($C$3*C12)+($D$3*D12)</f>
        <v>0.133964</v>
      </c>
      <c r="F12" s="83" t="n">
        <f aca="false">+$F$2-E12</f>
        <v>0.288731</v>
      </c>
      <c r="G12" s="84" t="n">
        <f aca="false">+$G$2-E12</f>
        <v>0.269066</v>
      </c>
    </row>
    <row r="13" customFormat="false" ht="12.75" hidden="false" customHeight="false" outlineLevel="0" collapsed="false">
      <c r="B13" s="85" t="s">
        <v>149</v>
      </c>
      <c r="C13" s="88" t="n">
        <v>0.134</v>
      </c>
      <c r="D13" s="21" t="n">
        <f aca="false">0.011+0.0004+0.004+0.0022+(4.37*0.006)+0.09</f>
        <v>0.13382</v>
      </c>
      <c r="E13" s="10" t="n">
        <f aca="false">+($C$3*C13)+($D$3*D13)</f>
        <v>0.133964</v>
      </c>
      <c r="F13" s="83" t="n">
        <f aca="false">+$F$2-E13</f>
        <v>0.288731</v>
      </c>
      <c r="G13" s="84" t="n">
        <f aca="false">+$G$2-E13</f>
        <v>0.269066</v>
      </c>
    </row>
    <row r="14" customFormat="false" ht="12.75" hidden="false" customHeight="false" outlineLevel="0" collapsed="false">
      <c r="B14" s="0" t="s">
        <v>150</v>
      </c>
      <c r="C14" s="81" t="n">
        <v>0.225</v>
      </c>
      <c r="D14" s="82" t="n">
        <v>0.225</v>
      </c>
      <c r="E14" s="10" t="n">
        <f aca="false">+($C$3*C14)+($D$3*D14)</f>
        <v>0.225</v>
      </c>
      <c r="F14" s="83" t="n">
        <f aca="false">+$F$2-E14</f>
        <v>0.197695</v>
      </c>
      <c r="G14" s="84" t="n">
        <f aca="false">+$G$2-E14</f>
        <v>0.17803</v>
      </c>
    </row>
    <row r="15" customFormat="false" ht="12.75" hidden="false" customHeight="false" outlineLevel="0" collapsed="false">
      <c r="B15" s="0" t="s">
        <v>151</v>
      </c>
      <c r="C15" s="96" t="n">
        <v>0.225</v>
      </c>
      <c r="D15" s="97" t="n">
        <v>0.225</v>
      </c>
      <c r="E15" s="15" t="n">
        <f aca="false">+($C$3*C15)+($D$3*D15)</f>
        <v>0.225</v>
      </c>
      <c r="F15" s="98" t="n">
        <f aca="false">+$F$2-E15</f>
        <v>0.197695</v>
      </c>
      <c r="G15" s="99" t="n">
        <f aca="false">+$G$2-E15</f>
        <v>0.17803</v>
      </c>
    </row>
    <row r="17" customFormat="false" ht="12.75" hidden="false" customHeight="false" outlineLevel="0" collapsed="false">
      <c r="D17" s="1" t="s">
        <v>152</v>
      </c>
      <c r="E17" s="10" t="n">
        <f aca="false">SUM(E4:E15)/12</f>
        <v>0.171904666666667</v>
      </c>
      <c r="F17" s="72" t="n">
        <f aca="false">SUM(F4:F16)/12</f>
        <v>0.250790333333333</v>
      </c>
      <c r="G17" s="73" t="n">
        <f aca="false">SUM(G4:G15)/12</f>
        <v>0.231125333333333</v>
      </c>
    </row>
    <row r="19" customFormat="false" ht="12.75" hidden="false" customHeight="false" outlineLevel="0" collapsed="false">
      <c r="B19" s="100" t="s">
        <v>153</v>
      </c>
      <c r="C19" s="101"/>
      <c r="D19" s="74"/>
      <c r="E19" s="74"/>
      <c r="F19" s="75"/>
      <c r="G19" s="75"/>
      <c r="H19" s="102"/>
      <c r="I19" s="102"/>
    </row>
    <row r="20" customFormat="false" ht="12.75" hidden="false" customHeight="false" outlineLevel="0" collapsed="false">
      <c r="B20" s="102"/>
      <c r="D20" s="10"/>
      <c r="E20" s="10"/>
      <c r="F20" s="10"/>
      <c r="G20" s="10"/>
      <c r="H20" s="102"/>
      <c r="I20" s="102"/>
    </row>
    <row r="21" customFormat="false" ht="12.75" hidden="false" customHeight="false" outlineLevel="0" collapsed="false">
      <c r="B21" s="2" t="s">
        <v>154</v>
      </c>
      <c r="H21" s="102"/>
      <c r="I21" s="102"/>
      <c r="J21" s="102"/>
      <c r="K21" s="102"/>
      <c r="L21" s="102"/>
      <c r="M21" s="102"/>
    </row>
    <row r="22" customFormat="false" ht="12.75" hidden="false" customHeight="false" outlineLevel="0" collapsed="false">
      <c r="F22" s="72" t="n">
        <f aca="false">+J31</f>
        <v>0.27503</v>
      </c>
      <c r="G22" s="73" t="n">
        <f aca="false">+K31</f>
        <v>0.29503</v>
      </c>
      <c r="H22" s="102"/>
      <c r="I22" s="102"/>
      <c r="J22" s="102"/>
      <c r="K22" s="102"/>
      <c r="L22" s="102"/>
      <c r="M22" s="102"/>
    </row>
    <row r="23" customFormat="false" ht="12.75" hidden="false" customHeight="false" outlineLevel="0" collapsed="false">
      <c r="B23" s="2" t="s">
        <v>129</v>
      </c>
      <c r="C23" s="74" t="n">
        <v>0.8</v>
      </c>
      <c r="D23" s="74" t="n">
        <v>0.2</v>
      </c>
      <c r="E23" s="74" t="n">
        <f aca="false">+D23+C23</f>
        <v>1</v>
      </c>
      <c r="F23" s="75" t="s">
        <v>130</v>
      </c>
      <c r="G23" s="75" t="s">
        <v>131</v>
      </c>
      <c r="H23" s="102"/>
      <c r="L23" s="102"/>
      <c r="M23" s="102"/>
    </row>
    <row r="24" customFormat="false" ht="12.75" hidden="false" customHeight="false" outlineLevel="0" collapsed="false">
      <c r="B24" s="0" t="s">
        <v>132</v>
      </c>
      <c r="C24" s="76" t="n">
        <v>0.225</v>
      </c>
      <c r="D24" s="77" t="n">
        <v>0.225</v>
      </c>
      <c r="E24" s="78" t="n">
        <f aca="false">+($C$3*C24)+($D$3*D24)</f>
        <v>0.225</v>
      </c>
      <c r="F24" s="103" t="n">
        <f aca="false">+$F$22-E24</f>
        <v>0.05003</v>
      </c>
      <c r="G24" s="80" t="n">
        <f aca="false">+$G$22-E24</f>
        <v>0.07003</v>
      </c>
      <c r="H24" s="102"/>
      <c r="I24" s="102"/>
      <c r="J24" s="0" t="s">
        <v>155</v>
      </c>
      <c r="L24" s="102"/>
      <c r="M24" s="102"/>
    </row>
    <row r="25" customFormat="false" ht="12.75" hidden="false" customHeight="false" outlineLevel="0" collapsed="false">
      <c r="B25" s="0" t="s">
        <v>135</v>
      </c>
      <c r="C25" s="81" t="n">
        <v>0.225</v>
      </c>
      <c r="D25" s="82" t="n">
        <v>0.225</v>
      </c>
      <c r="E25" s="10" t="n">
        <f aca="false">+($C$3*C25)+($D$3*D25)</f>
        <v>0.225</v>
      </c>
      <c r="F25" s="104" t="n">
        <f aca="false">+$F$22-E25</f>
        <v>0.05003</v>
      </c>
      <c r="G25" s="84" t="n">
        <f aca="false">+$G$22-E25</f>
        <v>0.07003</v>
      </c>
      <c r="H25" s="102"/>
      <c r="I25" s="102"/>
      <c r="J25" s="0" t="s">
        <v>156</v>
      </c>
      <c r="K25" s="0" t="s">
        <v>157</v>
      </c>
      <c r="L25" s="102"/>
      <c r="M25" s="102"/>
    </row>
    <row r="26" customFormat="false" ht="12.75" hidden="false" customHeight="false" outlineLevel="0" collapsed="false">
      <c r="B26" s="85" t="s">
        <v>138</v>
      </c>
      <c r="C26" s="81" t="n">
        <v>0.225</v>
      </c>
      <c r="D26" s="82" t="n">
        <v>0.225</v>
      </c>
      <c r="E26" s="10" t="n">
        <f aca="false">+($C$3*C26)+($D$3*D26)</f>
        <v>0.225</v>
      </c>
      <c r="F26" s="104" t="n">
        <f aca="false">+$F$22-E26</f>
        <v>0.05003</v>
      </c>
      <c r="G26" s="84" t="n">
        <f aca="false">+$G$22-E26</f>
        <v>0.07003</v>
      </c>
      <c r="H26" s="102"/>
      <c r="I26" s="0" t="s">
        <v>139</v>
      </c>
      <c r="J26" s="105" t="n">
        <v>0.192</v>
      </c>
      <c r="K26" s="106" t="n">
        <v>0.162</v>
      </c>
      <c r="L26" s="102"/>
      <c r="M26" s="102"/>
    </row>
    <row r="27" customFormat="false" ht="12.75" hidden="false" customHeight="false" outlineLevel="0" collapsed="false">
      <c r="B27" s="85" t="s">
        <v>140</v>
      </c>
      <c r="C27" s="88" t="n">
        <v>0.134</v>
      </c>
      <c r="D27" s="21" t="n">
        <f aca="false">0.011+0.0004+0.004+0.0022+(4.37*0.006)+0.09</f>
        <v>0.13382</v>
      </c>
      <c r="E27" s="10" t="n">
        <f aca="false">+($C$3*C27)+($D$3*D27)</f>
        <v>0.133964</v>
      </c>
      <c r="F27" s="104" t="n">
        <f aca="false">+$F$22-E27</f>
        <v>0.141066</v>
      </c>
      <c r="G27" s="84" t="n">
        <f aca="false">+$G$22-E27</f>
        <v>0.161066</v>
      </c>
      <c r="H27" s="102"/>
      <c r="I27" s="0" t="s">
        <v>141</v>
      </c>
      <c r="J27" s="107" t="n">
        <v>0.019</v>
      </c>
      <c r="K27" s="108" t="n">
        <v>0.019</v>
      </c>
      <c r="L27" s="102"/>
      <c r="M27" s="102"/>
    </row>
    <row r="28" customFormat="false" ht="12.75" hidden="false" customHeight="false" outlineLevel="0" collapsed="false">
      <c r="B28" s="85" t="s">
        <v>142</v>
      </c>
      <c r="C28" s="88" t="n">
        <v>0.134</v>
      </c>
      <c r="D28" s="21" t="n">
        <f aca="false">0.011+0.0004+0.004+0.0022+(4.37*0.006)+0.09</f>
        <v>0.13382</v>
      </c>
      <c r="E28" s="10" t="n">
        <f aca="false">+($C$3*C28)+($D$3*D28)</f>
        <v>0.133964</v>
      </c>
      <c r="F28" s="104" t="n">
        <f aca="false">+$F$22-E28</f>
        <v>0.141066</v>
      </c>
      <c r="G28" s="84" t="n">
        <f aca="false">+$G$22-E28</f>
        <v>0.161066</v>
      </c>
      <c r="H28" s="102"/>
      <c r="I28" s="0" t="s">
        <v>143</v>
      </c>
      <c r="J28" s="88" t="n">
        <f aca="false">+J27*4.37</f>
        <v>0.08303</v>
      </c>
      <c r="K28" s="21" t="n">
        <f aca="false">+K27*4.37</f>
        <v>0.08303</v>
      </c>
      <c r="L28" s="102"/>
      <c r="M28" s="102"/>
    </row>
    <row r="29" customFormat="false" ht="12.75" hidden="false" customHeight="false" outlineLevel="0" collapsed="false">
      <c r="B29" s="0" t="s">
        <v>144</v>
      </c>
      <c r="C29" s="88" t="n">
        <v>0.134</v>
      </c>
      <c r="D29" s="21" t="n">
        <v>0.134</v>
      </c>
      <c r="E29" s="10" t="n">
        <f aca="false">+($C$3*C29)+($D$3*D29)</f>
        <v>0.134</v>
      </c>
      <c r="F29" s="104" t="n">
        <f aca="false">+$F$22-E29</f>
        <v>0.14103</v>
      </c>
      <c r="G29" s="84" t="n">
        <f aca="false">+$G$22-E29</f>
        <v>0.16103</v>
      </c>
      <c r="H29" s="102"/>
      <c r="I29" s="0" t="s">
        <v>145</v>
      </c>
      <c r="J29" s="91" t="n">
        <f aca="false">+J26+J28</f>
        <v>0.27503</v>
      </c>
      <c r="K29" s="92" t="n">
        <f aca="false">+K26+K28</f>
        <v>0.24503</v>
      </c>
      <c r="L29" s="102"/>
      <c r="M29" s="102"/>
    </row>
    <row r="30" customFormat="false" ht="12.75" hidden="false" customHeight="false" outlineLevel="0" collapsed="false">
      <c r="B30" s="0" t="s">
        <v>146</v>
      </c>
      <c r="C30" s="88" t="n">
        <v>0.134</v>
      </c>
      <c r="D30" s="21" t="n">
        <v>0.134</v>
      </c>
      <c r="E30" s="10" t="n">
        <f aca="false">+($C$3*C30)+($D$3*D30)</f>
        <v>0.134</v>
      </c>
      <c r="F30" s="104" t="n">
        <f aca="false">+$F$22-E30</f>
        <v>0.14103</v>
      </c>
      <c r="G30" s="84" t="n">
        <f aca="false">+$G$22-E30</f>
        <v>0.16103</v>
      </c>
      <c r="H30" s="102"/>
      <c r="I30" s="0" t="s">
        <v>19</v>
      </c>
      <c r="J30" s="93" t="n">
        <v>0</v>
      </c>
      <c r="K30" s="94" t="n">
        <v>0.05</v>
      </c>
      <c r="L30" s="102"/>
      <c r="M30" s="102"/>
    </row>
    <row r="31" customFormat="false" ht="12.75" hidden="false" customHeight="false" outlineLevel="0" collapsed="false">
      <c r="B31" s="0" t="s">
        <v>147</v>
      </c>
      <c r="C31" s="88" t="n">
        <v>0.134</v>
      </c>
      <c r="D31" s="21" t="n">
        <v>0.134</v>
      </c>
      <c r="E31" s="10" t="n">
        <f aca="false">+($C$3*C31)+($D$3*D31)</f>
        <v>0.134</v>
      </c>
      <c r="F31" s="104" t="n">
        <f aca="false">+$F$22-E31</f>
        <v>0.14103</v>
      </c>
      <c r="G31" s="84" t="n">
        <f aca="false">+$G$22-E31</f>
        <v>0.16103</v>
      </c>
      <c r="H31" s="102"/>
      <c r="I31" s="0" t="s">
        <v>16</v>
      </c>
      <c r="J31" s="95" t="n">
        <f aca="false">+J29</f>
        <v>0.27503</v>
      </c>
      <c r="K31" s="95" t="n">
        <f aca="false">+K29+K30</f>
        <v>0.29503</v>
      </c>
      <c r="L31" s="102"/>
      <c r="M31" s="102"/>
    </row>
    <row r="32" customFormat="false" ht="12.75" hidden="false" customHeight="false" outlineLevel="0" collapsed="false">
      <c r="B32" s="85" t="s">
        <v>148</v>
      </c>
      <c r="C32" s="88" t="n">
        <v>0.134</v>
      </c>
      <c r="D32" s="21" t="n">
        <f aca="false">0.011+0.0004+0.004+0.0022+(4.37*0.006)+0.09</f>
        <v>0.13382</v>
      </c>
      <c r="E32" s="10" t="n">
        <f aca="false">+($C$3*C32)+($D$3*D32)</f>
        <v>0.133964</v>
      </c>
      <c r="F32" s="104" t="n">
        <f aca="false">+$F$22-E32</f>
        <v>0.141066</v>
      </c>
      <c r="G32" s="84" t="n">
        <f aca="false">+$G$22-E32</f>
        <v>0.161066</v>
      </c>
      <c r="H32" s="102"/>
      <c r="I32" s="102"/>
      <c r="J32" s="102"/>
      <c r="K32" s="102"/>
      <c r="L32" s="102"/>
      <c r="M32" s="102"/>
    </row>
    <row r="33" customFormat="false" ht="12.75" hidden="false" customHeight="false" outlineLevel="0" collapsed="false">
      <c r="B33" s="85" t="s">
        <v>149</v>
      </c>
      <c r="C33" s="88" t="n">
        <v>0.134</v>
      </c>
      <c r="D33" s="21" t="n">
        <f aca="false">0.011+0.0004+0.004+0.0022+(4.37*0.006)+0.09</f>
        <v>0.13382</v>
      </c>
      <c r="E33" s="10" t="n">
        <f aca="false">+($C$3*C33)+($D$3*D33)</f>
        <v>0.133964</v>
      </c>
      <c r="F33" s="104" t="n">
        <f aca="false">+$F$22-E33</f>
        <v>0.141066</v>
      </c>
      <c r="G33" s="84" t="n">
        <f aca="false">+$G$22-E33</f>
        <v>0.161066</v>
      </c>
      <c r="H33" s="102"/>
      <c r="I33" s="102"/>
      <c r="J33" s="102"/>
      <c r="K33" s="102"/>
      <c r="L33" s="102"/>
      <c r="M33" s="102"/>
    </row>
    <row r="34" customFormat="false" ht="12.75" hidden="false" customHeight="false" outlineLevel="0" collapsed="false">
      <c r="B34" s="0" t="s">
        <v>150</v>
      </c>
      <c r="C34" s="81" t="n">
        <v>0.225</v>
      </c>
      <c r="D34" s="82" t="n">
        <v>0.225</v>
      </c>
      <c r="E34" s="10" t="n">
        <f aca="false">+($C$3*C34)+($D$3*D34)</f>
        <v>0.225</v>
      </c>
      <c r="F34" s="104" t="n">
        <f aca="false">+$F$22-E34</f>
        <v>0.05003</v>
      </c>
      <c r="G34" s="84" t="n">
        <f aca="false">+$G$22-E34</f>
        <v>0.07003</v>
      </c>
      <c r="H34" s="102"/>
      <c r="I34" s="102"/>
      <c r="J34" s="102"/>
      <c r="K34" s="102"/>
      <c r="L34" s="102"/>
      <c r="M34" s="102"/>
    </row>
    <row r="35" customFormat="false" ht="12.75" hidden="false" customHeight="false" outlineLevel="0" collapsed="false">
      <c r="B35" s="0" t="s">
        <v>151</v>
      </c>
      <c r="C35" s="96" t="n">
        <v>0.225</v>
      </c>
      <c r="D35" s="97" t="n">
        <v>0.225</v>
      </c>
      <c r="E35" s="15" t="n">
        <f aca="false">+($C$3*C35)+($D$3*D35)</f>
        <v>0.225</v>
      </c>
      <c r="F35" s="109" t="n">
        <f aca="false">+$F$22-E35</f>
        <v>0.05003</v>
      </c>
      <c r="G35" s="99" t="n">
        <f aca="false">+$G$22-E35</f>
        <v>0.07003</v>
      </c>
      <c r="H35" s="102"/>
      <c r="I35" s="102"/>
      <c r="J35" s="102"/>
      <c r="K35" s="102"/>
      <c r="L35" s="102"/>
      <c r="M35" s="102"/>
    </row>
    <row r="36" customFormat="false" ht="12.75" hidden="false" customHeight="false" outlineLevel="0" collapsed="false">
      <c r="H36" s="102"/>
      <c r="I36" s="102"/>
      <c r="J36" s="102"/>
      <c r="K36" s="102"/>
      <c r="L36" s="102"/>
      <c r="M36" s="102"/>
    </row>
    <row r="37" customFormat="false" ht="12.75" hidden="false" customHeight="false" outlineLevel="0" collapsed="false">
      <c r="D37" s="1" t="s">
        <v>152</v>
      </c>
      <c r="E37" s="10" t="n">
        <f aca="false">SUM(E24:E35)/12</f>
        <v>0.171904666666667</v>
      </c>
      <c r="F37" s="72" t="n">
        <f aca="false">SUM(F24:F36)/12</f>
        <v>0.103125333333333</v>
      </c>
      <c r="G37" s="73" t="n">
        <f aca="false">SUM(G24:G35)/12</f>
        <v>0.123125333333333</v>
      </c>
      <c r="H37" s="102"/>
      <c r="I37" s="102"/>
      <c r="J37" s="102"/>
      <c r="K37" s="102"/>
      <c r="L37" s="102"/>
      <c r="M37" s="102"/>
    </row>
    <row r="39" customFormat="false" ht="12.75" hidden="false" customHeight="false" outlineLevel="0" collapsed="false">
      <c r="B39" s="100"/>
      <c r="C39" s="101"/>
      <c r="D39" s="74"/>
      <c r="E39" s="74"/>
      <c r="F39" s="75"/>
      <c r="G39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20.28"/>
    <col collapsed="false" customWidth="true" hidden="false" outlineLevel="0" max="3" min="3" style="0" width="19.14"/>
    <col collapsed="false" customWidth="true" hidden="false" outlineLevel="0" max="4" min="4" style="0" width="3.28"/>
    <col collapsed="false" customWidth="true" hidden="false" outlineLevel="0" max="5" min="5" style="0" width="24.13"/>
    <col collapsed="false" customWidth="true" hidden="false" outlineLevel="0" max="6" min="6" style="1" width="19.7"/>
    <col collapsed="false" customWidth="true" hidden="false" outlineLevel="0" max="7" min="7" style="0" width="9.28"/>
    <col collapsed="false" customWidth="true" hidden="false" outlineLevel="0" max="8" min="8" style="1" width="7.99"/>
    <col collapsed="false" customWidth="true" hidden="false" outlineLevel="0" max="9" min="9" style="1" width="11.99"/>
    <col collapsed="false" customWidth="true" hidden="false" outlineLevel="0" max="10" min="10" style="1" width="13.99"/>
    <col collapsed="false" customWidth="true" hidden="false" outlineLevel="0" max="11" min="11" style="0" width="9.28"/>
  </cols>
  <sheetData>
    <row r="2" customFormat="false" ht="12.75" hidden="false" customHeight="false" outlineLevel="0" collapsed="false">
      <c r="B2" s="2"/>
    </row>
    <row r="3" customFormat="false" ht="12.75" hidden="false" customHeight="false" outlineLevel="0" collapsed="false">
      <c r="B3" s="2" t="s">
        <v>158</v>
      </c>
      <c r="E3" s="2" t="s">
        <v>159</v>
      </c>
    </row>
    <row r="4" customFormat="false" ht="12.75" hidden="false" customHeight="false" outlineLevel="0" collapsed="false">
      <c r="G4" s="3"/>
      <c r="K4" s="3"/>
    </row>
    <row r="5" customFormat="false" ht="12.75" hidden="false" customHeight="false" outlineLevel="0" collapsed="false">
      <c r="B5" s="110" t="s">
        <v>5</v>
      </c>
      <c r="C5" s="111" t="s">
        <v>160</v>
      </c>
      <c r="D5" s="3"/>
      <c r="E5" s="112" t="s">
        <v>5</v>
      </c>
      <c r="F5" s="113" t="s">
        <v>161</v>
      </c>
      <c r="G5" s="3"/>
      <c r="K5" s="3"/>
    </row>
    <row r="6" customFormat="false" ht="12.75" hidden="false" customHeight="false" outlineLevel="0" collapsed="false">
      <c r="B6" s="114"/>
      <c r="C6" s="115"/>
      <c r="D6" s="3"/>
      <c r="E6" s="116"/>
      <c r="F6" s="117"/>
      <c r="G6" s="3"/>
      <c r="K6" s="3"/>
    </row>
    <row r="7" customFormat="false" ht="12.75" hidden="false" customHeight="false" outlineLevel="0" collapsed="false">
      <c r="B7" s="114" t="s">
        <v>11</v>
      </c>
      <c r="C7" s="118" t="n">
        <f aca="false">7/(30.4166666666667)</f>
        <v>0.23013698630137</v>
      </c>
      <c r="E7" s="116" t="s">
        <v>11</v>
      </c>
      <c r="F7" s="119" t="n">
        <f aca="false">10.79/30.2</f>
        <v>0.357284768211921</v>
      </c>
      <c r="G7" s="11"/>
      <c r="H7" s="10"/>
      <c r="K7" s="120"/>
    </row>
    <row r="8" customFormat="false" ht="12.75" hidden="false" customHeight="false" outlineLevel="0" collapsed="false">
      <c r="B8" s="114" t="s">
        <v>13</v>
      </c>
      <c r="C8" s="121" t="n">
        <f aca="false">0.022+0.0004+0.004+0.0022</f>
        <v>0.0286</v>
      </c>
      <c r="E8" s="116" t="s">
        <v>13</v>
      </c>
      <c r="F8" s="119" t="n">
        <f aca="false">0.022+0.0004+0.004+0.0022</f>
        <v>0.0286</v>
      </c>
      <c r="G8" s="11"/>
      <c r="H8" s="10"/>
      <c r="K8" s="120"/>
    </row>
    <row r="9" customFormat="false" ht="12.75" hidden="false" customHeight="false" outlineLevel="0" collapsed="false">
      <c r="B9" s="122" t="s">
        <v>15</v>
      </c>
      <c r="C9" s="123" t="n">
        <f aca="false">4.37*0.023</f>
        <v>0.10051</v>
      </c>
      <c r="E9" s="124" t="s">
        <v>31</v>
      </c>
      <c r="F9" s="99" t="n">
        <f aca="false">4.37*0.026</f>
        <v>0.11362</v>
      </c>
      <c r="G9" s="20"/>
      <c r="H9" s="10"/>
      <c r="K9" s="10"/>
    </row>
    <row r="10" customFormat="false" ht="12.75" hidden="false" customHeight="false" outlineLevel="0" collapsed="false">
      <c r="B10" s="125" t="s">
        <v>16</v>
      </c>
      <c r="C10" s="126" t="n">
        <f aca="false">SUM(C7:C9)</f>
        <v>0.35924698630137</v>
      </c>
      <c r="E10" s="127" t="s">
        <v>16</v>
      </c>
      <c r="F10" s="128" t="n">
        <f aca="false">SUM(F7:F9)</f>
        <v>0.499504768211921</v>
      </c>
      <c r="G10" s="3"/>
      <c r="K10" s="3"/>
    </row>
    <row r="11" customFormat="false" ht="12.75" hidden="false" customHeight="false" outlineLevel="0" collapsed="false">
      <c r="B11" s="114" t="s">
        <v>17</v>
      </c>
      <c r="C11" s="129" t="n">
        <v>1</v>
      </c>
      <c r="E11" s="116" t="s">
        <v>17</v>
      </c>
      <c r="F11" s="130" t="n">
        <v>0.8</v>
      </c>
      <c r="G11" s="3"/>
      <c r="K11" s="3"/>
    </row>
    <row r="12" customFormat="false" ht="12.75" hidden="false" customHeight="false" outlineLevel="0" collapsed="false">
      <c r="B12" s="114" t="s">
        <v>18</v>
      </c>
      <c r="C12" s="121" t="n">
        <f aca="false">(+C7/C11)+C8+C9</f>
        <v>0.35924698630137</v>
      </c>
      <c r="E12" s="116" t="s">
        <v>18</v>
      </c>
      <c r="F12" s="119" t="n">
        <f aca="false">(+F7/0.8)+F8+F9</f>
        <v>0.588825960264901</v>
      </c>
    </row>
    <row r="13" customFormat="false" ht="12.75" hidden="false" customHeight="false" outlineLevel="0" collapsed="false">
      <c r="B13" s="114" t="s">
        <v>19</v>
      </c>
      <c r="C13" s="131" t="n">
        <v>0.06</v>
      </c>
      <c r="E13" s="116" t="s">
        <v>19</v>
      </c>
      <c r="F13" s="132" t="n">
        <v>0.05</v>
      </c>
    </row>
    <row r="14" customFormat="false" ht="12.75" hidden="false" customHeight="false" outlineLevel="0" collapsed="false">
      <c r="B14" s="114" t="s">
        <v>20</v>
      </c>
      <c r="C14" s="133" t="n">
        <f aca="false">+C12+C13</f>
        <v>0.41924698630137</v>
      </c>
      <c r="E14" s="116" t="s">
        <v>20</v>
      </c>
      <c r="F14" s="134" t="n">
        <f aca="false">+F12+F13</f>
        <v>0.638825960264901</v>
      </c>
    </row>
    <row r="15" customFormat="false" ht="13.5" hidden="false" customHeight="false" outlineLevel="0" collapsed="false">
      <c r="B15" s="114" t="s">
        <v>162</v>
      </c>
      <c r="C15" s="131" t="n">
        <v>0.14</v>
      </c>
      <c r="E15" s="116" t="s">
        <v>162</v>
      </c>
      <c r="F15" s="132" t="n">
        <v>0.14</v>
      </c>
    </row>
    <row r="16" customFormat="false" ht="13.5" hidden="false" customHeight="false" outlineLevel="0" collapsed="false">
      <c r="B16" s="122" t="s">
        <v>163</v>
      </c>
      <c r="C16" s="135" t="n">
        <f aca="false">+C14-C15</f>
        <v>0.27924698630137</v>
      </c>
      <c r="E16" s="124" t="s">
        <v>163</v>
      </c>
      <c r="F16" s="136" t="n">
        <f aca="false">+F14-F15</f>
        <v>0.498825960264901</v>
      </c>
    </row>
    <row r="17" customFormat="false" ht="12.75" hidden="false" customHeight="false" outlineLevel="0" collapsed="false">
      <c r="B17" s="3"/>
      <c r="C17" s="10"/>
      <c r="D17" s="3"/>
      <c r="E17" s="3"/>
      <c r="F17" s="10"/>
    </row>
    <row r="18" customFormat="false" ht="12.75" hidden="false" customHeight="false" outlineLevel="0" collapsed="false">
      <c r="B18" s="102" t="s">
        <v>164</v>
      </c>
      <c r="C18" s="10"/>
      <c r="D18" s="3"/>
      <c r="E18" s="3"/>
      <c r="F18" s="10"/>
    </row>
    <row r="19" customFormat="false" ht="12.75" hidden="false" customHeight="false" outlineLevel="0" collapsed="false">
      <c r="B19" s="1"/>
      <c r="C19" s="1"/>
      <c r="D19" s="3"/>
      <c r="E19" s="1"/>
    </row>
    <row r="20" customFormat="false" ht="12.75" hidden="false" customHeight="false" outlineLevel="0" collapsed="false">
      <c r="B20" s="137" t="s">
        <v>165</v>
      </c>
      <c r="C20" s="10"/>
      <c r="D20" s="3"/>
      <c r="E20" s="3"/>
      <c r="F20" s="10"/>
    </row>
    <row r="21" customFormat="false" ht="12.75" hidden="false" customHeight="false" outlineLevel="0" collapsed="false">
      <c r="B21" s="102" t="s">
        <v>166</v>
      </c>
      <c r="E21" s="3"/>
    </row>
    <row r="22" customFormat="false" ht="12.75" hidden="false" customHeight="false" outlineLevel="0" collapsed="false">
      <c r="E22" s="3"/>
    </row>
    <row r="23" customFormat="false" ht="12.75" hidden="false" customHeight="false" outlineLevel="0" collapsed="false">
      <c r="B23" s="30"/>
    </row>
    <row r="24" customFormat="false" ht="12.75" hidden="false" customHeight="false" outlineLevel="0" collapsed="false">
      <c r="B24" s="31"/>
      <c r="C24" s="31"/>
      <c r="D24" s="31"/>
      <c r="E24" s="31"/>
      <c r="F24" s="32"/>
      <c r="G24" s="31"/>
      <c r="H24" s="32"/>
      <c r="I24" s="32"/>
      <c r="J24" s="32"/>
      <c r="K24" s="31"/>
      <c r="L24" s="31"/>
    </row>
    <row r="25" customFormat="false" ht="12.75" hidden="false" customHeight="false" outlineLevel="0" collapsed="false">
      <c r="B25" s="31"/>
      <c r="C25" s="31"/>
      <c r="D25" s="31"/>
      <c r="E25" s="31"/>
      <c r="F25" s="32"/>
      <c r="G25" s="31"/>
      <c r="H25" s="32"/>
      <c r="I25" s="32"/>
      <c r="J25" s="32"/>
      <c r="K25" s="31"/>
      <c r="L25" s="31"/>
    </row>
    <row r="26" customFormat="false" ht="12.75" hidden="false" customHeight="false" outlineLevel="0" collapsed="false">
      <c r="B26" s="31"/>
      <c r="C26" s="31"/>
      <c r="D26" s="31"/>
      <c r="E26" s="31"/>
      <c r="F26" s="32"/>
      <c r="G26" s="31"/>
      <c r="H26" s="32"/>
      <c r="I26" s="32"/>
      <c r="J26" s="32"/>
      <c r="K26" s="31"/>
      <c r="L26" s="31"/>
    </row>
    <row r="27" customFormat="false" ht="12.75" hidden="false" customHeight="false" outlineLevel="0" collapsed="false">
      <c r="B27" s="31"/>
      <c r="C27" s="31"/>
      <c r="D27" s="31"/>
      <c r="E27" s="31"/>
      <c r="F27" s="32"/>
      <c r="G27" s="31"/>
      <c r="H27" s="32"/>
      <c r="I27" s="32"/>
      <c r="J27" s="32"/>
      <c r="K27" s="31"/>
      <c r="L27" s="31"/>
    </row>
    <row r="28" customFormat="false" ht="12.75" hidden="false" customHeight="false" outlineLevel="0" collapsed="false">
      <c r="B28" s="31"/>
      <c r="C28" s="31"/>
      <c r="D28" s="31"/>
      <c r="E28" s="31"/>
      <c r="F28" s="32"/>
      <c r="G28" s="31"/>
      <c r="H28" s="32"/>
      <c r="I28" s="32"/>
      <c r="J28" s="32"/>
      <c r="K28" s="31"/>
      <c r="L28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41"/>
  <sheetViews>
    <sheetView showFormulas="false" showGridLines="true" showRowColHeaders="true" showZeros="true" rightToLeft="false" tabSelected="true" showOutlineSymbols="true" defaultGridColor="true" view="normal" topLeftCell="A3" colorId="64" zoomScale="85" zoomScaleNormal="85" zoomScalePageLayoutView="100" workbookViewId="0">
      <selection pane="topLeft" activeCell="I40" activeCellId="0" sqref="I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16.56"/>
    <col collapsed="false" customWidth="true" hidden="false" outlineLevel="0" max="2" min="2" style="102" width="17.7"/>
    <col collapsed="false" customWidth="true" hidden="false" outlineLevel="0" max="3" min="3" style="102" width="15.28"/>
    <col collapsed="false" customWidth="true" hidden="false" outlineLevel="0" max="4" min="4" style="102" width="5.13"/>
    <col collapsed="false" customWidth="true" hidden="false" outlineLevel="0" max="5" min="5" style="102" width="13.7"/>
    <col collapsed="false" customWidth="true" hidden="false" outlineLevel="0" max="7" min="6" style="102" width="15.28"/>
    <col collapsed="false" customWidth="true" hidden="false" outlineLevel="0" max="9" min="8" style="102" width="13.7"/>
    <col collapsed="false" customWidth="true" hidden="false" outlineLevel="0" max="11" min="10" style="102" width="12.56"/>
    <col collapsed="false" customWidth="false" hidden="false" outlineLevel="0" max="257" min="12" style="102" width="9.14"/>
  </cols>
  <sheetData>
    <row r="2" customFormat="false" ht="12.75" hidden="false" customHeight="false" outlineLevel="0" collapsed="false">
      <c r="B2" s="138"/>
    </row>
    <row r="4" customFormat="false" ht="12.75" hidden="false" customHeight="false" outlineLevel="0" collapsed="false">
      <c r="B4" s="139"/>
      <c r="C4" s="139"/>
      <c r="D4" s="139"/>
      <c r="E4" s="139"/>
      <c r="F4" s="139"/>
      <c r="G4" s="139"/>
      <c r="H4" s="139"/>
      <c r="I4" s="139"/>
      <c r="J4" s="140"/>
      <c r="K4" s="140"/>
    </row>
    <row r="5" customFormat="false" ht="12.75" hidden="false" customHeight="false" outlineLevel="0" collapsed="false">
      <c r="J5" s="141"/>
      <c r="K5" s="141"/>
    </row>
    <row r="6" customFormat="false" ht="12.75" hidden="false" customHeight="false" outlineLevel="0" collapsed="false">
      <c r="B6" s="139"/>
      <c r="C6" s="139"/>
      <c r="D6" s="139"/>
      <c r="E6" s="139"/>
      <c r="F6" s="139"/>
      <c r="G6" s="139"/>
      <c r="H6" s="139"/>
      <c r="I6" s="139"/>
      <c r="J6" s="140"/>
      <c r="K6" s="140"/>
    </row>
    <row r="8" customFormat="false" ht="12.75" hidden="false" customHeight="false" outlineLevel="0" collapsed="false">
      <c r="B8" s="139"/>
      <c r="C8" s="139"/>
      <c r="D8" s="139"/>
      <c r="E8" s="139"/>
      <c r="F8" s="139"/>
      <c r="G8" s="139"/>
      <c r="H8" s="139"/>
      <c r="I8" s="139"/>
    </row>
    <row r="10" customFormat="false" ht="12.75" hidden="false" customHeight="false" outlineLevel="0" collapsed="false">
      <c r="B10" s="140"/>
      <c r="C10" s="140"/>
      <c r="D10" s="140"/>
      <c r="E10" s="140"/>
      <c r="F10" s="140"/>
      <c r="G10" s="140"/>
      <c r="H10" s="140"/>
      <c r="I10" s="140"/>
    </row>
    <row r="11" customFormat="false" ht="12.75" hidden="false" customHeight="false" outlineLevel="0" collapsed="false">
      <c r="A11" s="142"/>
    </row>
    <row r="12" customFormat="false" ht="12.75" hidden="false" customHeight="false" outlineLevel="0" collapsed="false">
      <c r="B12" s="140"/>
      <c r="C12" s="140"/>
      <c r="D12" s="140"/>
      <c r="E12" s="140"/>
      <c r="F12" s="140"/>
      <c r="G12" s="140"/>
      <c r="H12" s="140"/>
      <c r="I12" s="140"/>
    </row>
    <row r="13" customFormat="false" ht="12.75" hidden="false" customHeight="false" outlineLevel="0" collapsed="false">
      <c r="B13" s="140"/>
      <c r="C13" s="140"/>
      <c r="D13" s="140"/>
      <c r="E13" s="140"/>
      <c r="F13" s="140"/>
      <c r="G13" s="140"/>
      <c r="H13" s="140"/>
      <c r="I13" s="140"/>
    </row>
    <row r="14" customFormat="false" ht="12.75" hidden="false" customHeight="false" outlineLevel="0" collapsed="false">
      <c r="B14" s="140"/>
      <c r="C14" s="140"/>
      <c r="D14" s="140"/>
      <c r="E14" s="140"/>
      <c r="F14" s="140"/>
      <c r="G14" s="140"/>
      <c r="H14" s="140"/>
      <c r="I14" s="140"/>
    </row>
    <row r="15" customFormat="false" ht="12.75" hidden="false" customHeight="false" outlineLevel="0" collapsed="false">
      <c r="B15" s="140"/>
      <c r="C15" s="140"/>
      <c r="D15" s="140"/>
      <c r="E15" s="140"/>
      <c r="F15" s="140"/>
      <c r="G15" s="140"/>
      <c r="H15" s="140"/>
      <c r="I15" s="140"/>
      <c r="K15" s="143"/>
    </row>
    <row r="16" customFormat="false" ht="12.75" hidden="false" customHeight="false" outlineLevel="0" collapsed="false">
      <c r="B16" s="140"/>
      <c r="C16" s="140"/>
      <c r="D16" s="140"/>
      <c r="E16" s="140"/>
      <c r="F16" s="140"/>
      <c r="G16" s="140"/>
      <c r="H16" s="140"/>
      <c r="I16" s="140"/>
      <c r="K16" s="143"/>
    </row>
    <row r="17" customFormat="false" ht="12.75" hidden="false" customHeight="false" outlineLevel="0" collapsed="false">
      <c r="B17" s="140"/>
      <c r="C17" s="140"/>
      <c r="D17" s="140"/>
      <c r="E17" s="140"/>
      <c r="F17" s="140"/>
      <c r="G17" s="140"/>
      <c r="H17" s="140"/>
      <c r="I17" s="140"/>
    </row>
    <row r="18" customFormat="false" ht="12.75" hidden="false" customHeight="false" outlineLevel="0" collapsed="false">
      <c r="B18" s="140"/>
      <c r="C18" s="140"/>
      <c r="D18" s="140"/>
      <c r="E18" s="140"/>
      <c r="F18" s="140"/>
      <c r="G18" s="140"/>
      <c r="H18" s="140"/>
      <c r="I18" s="140"/>
    </row>
    <row r="19" customFormat="false" ht="12.75" hidden="false" customHeight="false" outlineLevel="0" collapsed="false">
      <c r="B19" s="140"/>
      <c r="C19" s="140"/>
      <c r="D19" s="140"/>
      <c r="E19" s="140"/>
      <c r="F19" s="140"/>
      <c r="G19" s="140"/>
      <c r="H19" s="140"/>
      <c r="I19" s="140"/>
    </row>
    <row r="20" customFormat="false" ht="12.75" hidden="false" customHeight="false" outlineLevel="0" collapsed="false">
      <c r="B20" s="140"/>
      <c r="C20" s="140"/>
      <c r="D20" s="140"/>
      <c r="E20" s="140"/>
      <c r="F20" s="140"/>
      <c r="G20" s="140"/>
      <c r="H20" s="140"/>
      <c r="I20" s="140"/>
    </row>
    <row r="21" customFormat="false" ht="12.75" hidden="false" customHeight="false" outlineLevel="0" collapsed="false">
      <c r="B21" s="140"/>
      <c r="C21" s="140"/>
      <c r="D21" s="140"/>
      <c r="E21" s="140"/>
      <c r="F21" s="140"/>
      <c r="G21" s="140"/>
      <c r="H21" s="140"/>
      <c r="I21" s="140"/>
    </row>
    <row r="22" customFormat="false" ht="12.75" hidden="false" customHeight="false" outlineLevel="0" collapsed="false">
      <c r="B22" s="140"/>
      <c r="C22" s="140"/>
      <c r="D22" s="140"/>
      <c r="E22" s="140"/>
      <c r="F22" s="140"/>
      <c r="G22" s="140"/>
      <c r="H22" s="140"/>
      <c r="I22" s="140"/>
    </row>
    <row r="23" customFormat="false" ht="12.75" hidden="false" customHeight="false" outlineLevel="0" collapsed="false">
      <c r="B23" s="140"/>
      <c r="C23" s="140"/>
      <c r="D23" s="140"/>
      <c r="E23" s="140"/>
      <c r="F23" s="140"/>
      <c r="G23" s="140"/>
      <c r="H23" s="140"/>
      <c r="I23" s="140"/>
    </row>
    <row r="24" customFormat="false" ht="12.75" hidden="false" customHeight="false" outlineLevel="0" collapsed="false">
      <c r="B24" s="140"/>
      <c r="C24" s="140"/>
      <c r="D24" s="140"/>
      <c r="E24" s="140"/>
      <c r="F24" s="140"/>
      <c r="G24" s="140"/>
      <c r="H24" s="140"/>
      <c r="I24" s="140"/>
    </row>
    <row r="25" customFormat="false" ht="12.75" hidden="false" customHeight="false" outlineLevel="0" collapsed="false">
      <c r="B25" s="140"/>
      <c r="C25" s="140"/>
      <c r="D25" s="140"/>
      <c r="E25" s="140"/>
      <c r="F25" s="140"/>
      <c r="G25" s="140"/>
      <c r="H25" s="140"/>
      <c r="I25" s="140"/>
    </row>
    <row r="26" customFormat="false" ht="12.75" hidden="false" customHeight="false" outlineLevel="0" collapsed="false">
      <c r="B26" s="140"/>
      <c r="C26" s="140"/>
      <c r="D26" s="140"/>
      <c r="E26" s="140"/>
      <c r="F26" s="140"/>
      <c r="G26" s="140"/>
      <c r="H26" s="140"/>
      <c r="I26" s="140"/>
    </row>
    <row r="27" customFormat="false" ht="12.75" hidden="false" customHeight="false" outlineLevel="0" collapsed="false">
      <c r="B27" s="140"/>
      <c r="C27" s="140"/>
      <c r="D27" s="140"/>
      <c r="E27" s="140"/>
      <c r="F27" s="140"/>
      <c r="G27" s="140"/>
      <c r="H27" s="140"/>
      <c r="I27" s="140"/>
    </row>
    <row r="28" customFormat="false" ht="12.75" hidden="false" customHeight="false" outlineLevel="0" collapsed="false">
      <c r="B28" s="140"/>
      <c r="C28" s="140"/>
      <c r="D28" s="140"/>
      <c r="E28" s="140"/>
      <c r="F28" s="140"/>
      <c r="G28" s="140"/>
      <c r="H28" s="140"/>
      <c r="I28" s="140"/>
    </row>
    <row r="29" customFormat="false" ht="12.75" hidden="false" customHeight="false" outlineLevel="0" collapsed="false">
      <c r="B29" s="140"/>
      <c r="C29" s="140"/>
      <c r="D29" s="140"/>
      <c r="E29" s="140"/>
      <c r="F29" s="140"/>
      <c r="G29" s="140"/>
      <c r="H29" s="140"/>
      <c r="I29" s="140"/>
    </row>
    <row r="30" customFormat="false" ht="12.75" hidden="false" customHeight="false" outlineLevel="0" collapsed="false">
      <c r="B30" s="140"/>
      <c r="C30" s="140"/>
      <c r="D30" s="140"/>
      <c r="E30" s="140"/>
      <c r="F30" s="140"/>
      <c r="G30" s="140"/>
      <c r="H30" s="140"/>
      <c r="I30" s="140"/>
    </row>
    <row r="31" customFormat="false" ht="12.75" hidden="false" customHeight="false" outlineLevel="0" collapsed="false">
      <c r="B31" s="140"/>
      <c r="C31" s="140"/>
      <c r="D31" s="140"/>
      <c r="E31" s="140"/>
      <c r="F31" s="140"/>
      <c r="G31" s="140"/>
      <c r="H31" s="140"/>
      <c r="I31" s="140"/>
    </row>
    <row r="32" customFormat="false" ht="12.75" hidden="false" customHeight="false" outlineLevel="0" collapsed="false">
      <c r="B32" s="140"/>
      <c r="C32" s="140"/>
      <c r="D32" s="140"/>
      <c r="E32" s="140"/>
      <c r="F32" s="140"/>
      <c r="G32" s="140"/>
      <c r="H32" s="140"/>
      <c r="I32" s="140"/>
    </row>
    <row r="33" customFormat="false" ht="12.75" hidden="false" customHeight="false" outlineLevel="0" collapsed="false">
      <c r="B33" s="1"/>
      <c r="C33" s="1"/>
      <c r="D33" s="1"/>
      <c r="E33" s="1"/>
      <c r="F33" s="1"/>
      <c r="G33" s="1"/>
    </row>
    <row r="34" customFormat="false" ht="12.75" hidden="false" customHeight="false" outlineLevel="0" collapsed="false">
      <c r="B34" s="1"/>
      <c r="C34" s="1"/>
      <c r="D34" s="1"/>
      <c r="E34" s="1"/>
      <c r="F34" s="1"/>
      <c r="G34" s="1"/>
    </row>
    <row r="35" customFormat="false" ht="12.75" hidden="false" customHeight="false" outlineLevel="0" collapsed="false">
      <c r="B35" s="142"/>
      <c r="C35" s="142"/>
      <c r="D35" s="142"/>
      <c r="F35" s="141"/>
      <c r="G35" s="1"/>
    </row>
    <row r="36" customFormat="false" ht="12.75" hidden="false" customHeight="false" outlineLevel="0" collapsed="false">
      <c r="B36" s="1"/>
      <c r="C36" s="1"/>
      <c r="D36" s="1"/>
      <c r="E36" s="1"/>
      <c r="F36" s="144"/>
      <c r="G36" s="1"/>
    </row>
    <row r="37" customFormat="false" ht="12.75" hidden="false" customHeight="false" outlineLevel="0" collapsed="false">
      <c r="B37" s="1"/>
      <c r="C37" s="1"/>
      <c r="D37" s="1"/>
      <c r="E37" s="1"/>
      <c r="F37" s="10"/>
      <c r="G37" s="1"/>
    </row>
    <row r="38" customFormat="false" ht="12.75" hidden="false" customHeight="false" outlineLevel="0" collapsed="false">
      <c r="B38" s="1"/>
      <c r="C38" s="1"/>
      <c r="D38" s="1"/>
      <c r="E38" s="1"/>
      <c r="F38" s="144"/>
    </row>
    <row r="39" customFormat="false" ht="12.75" hidden="false" customHeight="false" outlineLevel="0" collapsed="false">
      <c r="B39" s="1"/>
      <c r="C39" s="1"/>
      <c r="D39" s="1"/>
      <c r="E39" s="1"/>
      <c r="F39" s="10"/>
    </row>
    <row r="40" customFormat="false" ht="12.75" hidden="false" customHeight="false" outlineLevel="0" collapsed="false">
      <c r="B40" s="1"/>
      <c r="C40" s="1"/>
      <c r="D40" s="1"/>
      <c r="E40" s="1"/>
      <c r="F40" s="144"/>
    </row>
    <row r="41" customFormat="false" ht="12.75" hidden="false" customHeight="false" outlineLevel="0" collapsed="false">
      <c r="B41" s="1"/>
      <c r="C41" s="1"/>
      <c r="D41" s="1"/>
      <c r="E41" s="1"/>
      <c r="F41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2001-04-02T13:51:11Z</dcterms:created>
  <dc:creator>pdemoes</dc:creator>
  <dc:description/>
  <dc:language>en-US</dc:language>
  <cp:lastModifiedBy>pdemoes</cp:lastModifiedBy>
  <cp:lastPrinted>2001-04-18T18:30:48Z</cp:lastPrinted>
  <dcterms:modified xsi:type="dcterms:W3CDTF">2001-04-19T20:10:08Z</dcterms:modified>
  <cp:revision>0</cp:revision>
  <dc:subject/>
  <dc:title/>
</cp:coreProperties>
</file>