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<sst xmlns="http://schemas.openxmlformats.org/spreadsheetml/2006/main" count="145" uniqueCount="35">
  <si>
    <t xml:space="preserve">East Power Summary</t>
  </si>
  <si>
    <t xml:space="preserve">Positions by Counterparty</t>
  </si>
  <si>
    <t xml:space="preserve">Peak /</t>
  </si>
  <si>
    <t xml:space="preserve">Total</t>
  </si>
  <si>
    <t xml:space="preserve">Counterparty</t>
  </si>
  <si>
    <t xml:space="preserve">Region</t>
  </si>
  <si>
    <t xml:space="preserve">Off Peak</t>
  </si>
  <si>
    <t xml:space="preserve">Sales</t>
  </si>
  <si>
    <t xml:space="preserve">Purchases</t>
  </si>
  <si>
    <t xml:space="preserve">Net Cash</t>
  </si>
  <si>
    <t xml:space="preserve">VEPCO</t>
  </si>
  <si>
    <t xml:space="preserve">PJM</t>
  </si>
  <si>
    <t xml:space="preserve">Peak</t>
  </si>
  <si>
    <t xml:space="preserve">ENTERGY</t>
  </si>
  <si>
    <t xml:space="preserve">CINERGY</t>
  </si>
  <si>
    <t xml:space="preserve">NEPOOL</t>
  </si>
  <si>
    <t xml:space="preserve">SELECT</t>
  </si>
  <si>
    <t xml:space="preserve">GPU</t>
  </si>
  <si>
    <t xml:space="preserve">HQ</t>
  </si>
  <si>
    <t xml:space="preserve">LEM</t>
  </si>
  <si>
    <t xml:space="preserve">SOCO</t>
  </si>
  <si>
    <t xml:space="preserve">BECO</t>
  </si>
  <si>
    <t xml:space="preserve">CMPC</t>
  </si>
  <si>
    <t xml:space="preserve">AMEREN</t>
  </si>
  <si>
    <t xml:space="preserve">COMED</t>
  </si>
  <si>
    <t xml:space="preserve">TVA</t>
  </si>
  <si>
    <t xml:space="preserve">CARGILL</t>
  </si>
  <si>
    <t xml:space="preserve">CP&amp;L</t>
  </si>
  <si>
    <t xml:space="preserve">FE</t>
  </si>
  <si>
    <t xml:space="preserve">WABASH</t>
  </si>
  <si>
    <t xml:space="preserve">IP&amp;L</t>
  </si>
  <si>
    <t xml:space="preserve">Total PJM</t>
  </si>
  <si>
    <t xml:space="preserve">Total NEPOOL</t>
  </si>
  <si>
    <t xml:space="preserve">Total Other</t>
  </si>
  <si>
    <t xml:space="preserve">Total Other w/out Ameren and Wabash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</si>
</sst>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_(\$* #,##0.00_);_(\$* \(#,##0.00\);_(\$* \-??_);_(@_)"/>
    <numFmt numFmtId="167" formatCode="\$#,##0_);[RED]&quot;($&quot;#,##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  <font>
      <b val="true"/>
      <sz val="8"/>
      <name val="Arial"/>
      <family val="2"/>
    </font>
    <font>
      <b val="true"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7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  <col collapsed="false" customWidth="true" hidden="false" outlineLevel="0" max="2" min="2" style="0" width="9.85"/>
    <col collapsed="false" customWidth="true" hidden="false" outlineLevel="0" max="3" min="3" style="0" width="8.7"/>
    <col collapsed="false" customWidth="true" hidden="false" outlineLevel="0" max="5" min="4" style="0" width="10.71"/>
    <col collapsed="false" customWidth="true" hidden="false" outlineLevel="0" max="8" min="7" style="0" width="10.71"/>
    <col collapsed="false" customWidth="true" hidden="false" outlineLevel="0" max="11" min="10" style="0" width="10.71"/>
    <col collapsed="false" customWidth="true" hidden="false" outlineLevel="0" max="14" min="13" style="0" width="11.7"/>
    <col collapsed="false" customWidth="true" hidden="false" outlineLevel="0" max="15" min="15" style="0" width="10.71"/>
  </cols>
  <sheetData>
    <row r="1" customFormat="false" ht="23.2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3"/>
      <c r="B4" s="3"/>
      <c r="C4" s="4" t="s">
        <v>2</v>
      </c>
      <c r="D4" s="5" t="n">
        <v>37252</v>
      </c>
      <c r="E4" s="5"/>
      <c r="F4" s="5"/>
      <c r="G4" s="5" t="n">
        <v>37253</v>
      </c>
      <c r="H4" s="5"/>
      <c r="I4" s="5"/>
      <c r="J4" s="5" t="n">
        <v>37256</v>
      </c>
      <c r="K4" s="5"/>
      <c r="L4" s="5"/>
      <c r="M4" s="5" t="s">
        <v>3</v>
      </c>
      <c r="N4" s="5"/>
      <c r="O4" s="5"/>
    </row>
    <row r="5" customFormat="false" ht="12.75" hidden="false" customHeight="false" outlineLevel="0" collapsed="false">
      <c r="A5" s="4" t="s">
        <v>4</v>
      </c>
      <c r="B5" s="4" t="s">
        <v>5</v>
      </c>
      <c r="C5" s="4" t="s">
        <v>6</v>
      </c>
      <c r="D5" s="6" t="s">
        <v>7</v>
      </c>
      <c r="E5" s="7" t="s">
        <v>8</v>
      </c>
      <c r="F5" s="8" t="s">
        <v>9</v>
      </c>
      <c r="G5" s="6" t="s">
        <v>7</v>
      </c>
      <c r="H5" s="7" t="s">
        <v>8</v>
      </c>
      <c r="I5" s="8" t="s">
        <v>9</v>
      </c>
      <c r="J5" s="6" t="s">
        <v>7</v>
      </c>
      <c r="K5" s="7" t="s">
        <v>8</v>
      </c>
      <c r="L5" s="8" t="s">
        <v>9</v>
      </c>
      <c r="M5" s="6" t="s">
        <v>7</v>
      </c>
      <c r="N5" s="7" t="s">
        <v>8</v>
      </c>
      <c r="O5" s="8" t="s">
        <v>9</v>
      </c>
    </row>
    <row r="6" customFormat="false" ht="12.75" hidden="false" customHeight="false" outlineLevel="0" collapsed="false">
      <c r="A6" s="0" t="s">
        <v>10</v>
      </c>
      <c r="B6" s="0" t="s">
        <v>11</v>
      </c>
      <c r="C6" s="0" t="s">
        <v>12</v>
      </c>
      <c r="D6" s="9" t="n">
        <f aca="false">76005*16</f>
        <v>1216080</v>
      </c>
      <c r="E6" s="10" t="n">
        <f aca="false">69172.5*16</f>
        <v>1106760</v>
      </c>
      <c r="F6" s="11" t="n">
        <f aca="false">D6-E6</f>
        <v>109320</v>
      </c>
      <c r="G6" s="9" t="n">
        <f aca="false">76005*16</f>
        <v>1216080</v>
      </c>
      <c r="H6" s="10" t="n">
        <f aca="false">69172.5*16</f>
        <v>1106760</v>
      </c>
      <c r="I6" s="11" t="n">
        <f aca="false">G6-H6</f>
        <v>109320</v>
      </c>
      <c r="J6" s="9" t="n">
        <f aca="false">76005*16</f>
        <v>1216080</v>
      </c>
      <c r="K6" s="10" t="n">
        <f aca="false">69172.5*16</f>
        <v>1106760</v>
      </c>
      <c r="L6" s="11" t="n">
        <f aca="false">J6-K6</f>
        <v>109320</v>
      </c>
      <c r="M6" s="9" t="n">
        <f aca="false">D6+G6+J6</f>
        <v>3648240</v>
      </c>
      <c r="N6" s="10" t="n">
        <f aca="false">E6+H6+K6</f>
        <v>3320280</v>
      </c>
      <c r="O6" s="11" t="n">
        <f aca="false">M6-N6</f>
        <v>327960</v>
      </c>
    </row>
    <row r="7" customFormat="false" ht="12.75" hidden="false" customHeight="false" outlineLevel="0" collapsed="false">
      <c r="A7" s="0" t="s">
        <v>10</v>
      </c>
      <c r="B7" s="0" t="s">
        <v>11</v>
      </c>
      <c r="C7" s="0" t="s">
        <v>6</v>
      </c>
      <c r="D7" s="9" t="n">
        <f aca="false">3187.5*8</f>
        <v>25500</v>
      </c>
      <c r="E7" s="10" t="n">
        <f aca="false">3100*8</f>
        <v>24800</v>
      </c>
      <c r="F7" s="11" t="n">
        <f aca="false">D7-E7</f>
        <v>700</v>
      </c>
      <c r="G7" s="9" t="n">
        <f aca="false">3187.5*8</f>
        <v>25500</v>
      </c>
      <c r="H7" s="10" t="n">
        <f aca="false">3100*8</f>
        <v>24800</v>
      </c>
      <c r="I7" s="11" t="n">
        <f aca="false">G7-H7</f>
        <v>700</v>
      </c>
      <c r="J7" s="9" t="n">
        <f aca="false">3187.5*8</f>
        <v>25500</v>
      </c>
      <c r="K7" s="10" t="n">
        <f aca="false">3100*8</f>
        <v>24800</v>
      </c>
      <c r="L7" s="11" t="n">
        <f aca="false">J7-K7</f>
        <v>700</v>
      </c>
      <c r="M7" s="9" t="n">
        <f aca="false">D7+G7+J7</f>
        <v>76500</v>
      </c>
      <c r="N7" s="10" t="n">
        <f aca="false">E7+H7+K7</f>
        <v>74400</v>
      </c>
      <c r="O7" s="11" t="n">
        <f aca="false">M7-N7</f>
        <v>2100</v>
      </c>
    </row>
    <row r="8" customFormat="false" ht="12.75" hidden="false" customHeight="false" outlineLevel="0" collapsed="false">
      <c r="A8" s="0" t="s">
        <v>10</v>
      </c>
      <c r="B8" s="0" t="s">
        <v>13</v>
      </c>
      <c r="C8" s="0" t="s">
        <v>12</v>
      </c>
      <c r="D8" s="9" t="n">
        <f aca="false">(2018+1050)*16</f>
        <v>49088</v>
      </c>
      <c r="E8" s="10" t="n">
        <f aca="false">3510*16</f>
        <v>56160</v>
      </c>
      <c r="F8" s="11" t="n">
        <f aca="false">D8-E8</f>
        <v>-7072</v>
      </c>
      <c r="G8" s="9" t="n">
        <f aca="false">(2018+1050)*16</f>
        <v>49088</v>
      </c>
      <c r="H8" s="10" t="n">
        <f aca="false">3510*16</f>
        <v>56160</v>
      </c>
      <c r="I8" s="11" t="n">
        <f aca="false">G8-H8</f>
        <v>-7072</v>
      </c>
      <c r="J8" s="9" t="n">
        <f aca="false">(2018+1050)*16</f>
        <v>49088</v>
      </c>
      <c r="K8" s="10" t="n">
        <f aca="false">3510*16</f>
        <v>56160</v>
      </c>
      <c r="L8" s="11" t="n">
        <f aca="false">J8-K8</f>
        <v>-7072</v>
      </c>
      <c r="M8" s="9" t="n">
        <f aca="false">D8+G8+J8</f>
        <v>147264</v>
      </c>
      <c r="N8" s="10" t="n">
        <f aca="false">E8+H8+K8</f>
        <v>168480</v>
      </c>
      <c r="O8" s="11" t="n">
        <f aca="false">M8-N8</f>
        <v>-21216</v>
      </c>
    </row>
    <row r="9" customFormat="false" ht="12.75" hidden="false" customHeight="false" outlineLevel="0" collapsed="false">
      <c r="A9" s="0" t="s">
        <v>10</v>
      </c>
      <c r="B9" s="0" t="s">
        <v>14</v>
      </c>
      <c r="C9" s="0" t="s">
        <v>12</v>
      </c>
      <c r="D9" s="9" t="n">
        <f aca="false">45840*16</f>
        <v>733440</v>
      </c>
      <c r="E9" s="10" t="n">
        <f aca="false">(22800+16100)*16</f>
        <v>622400</v>
      </c>
      <c r="F9" s="11" t="n">
        <f aca="false">D9-E9</f>
        <v>111040</v>
      </c>
      <c r="G9" s="9" t="n">
        <f aca="false">45840*16</f>
        <v>733440</v>
      </c>
      <c r="H9" s="10" t="n">
        <f aca="false">(22800+16100)*16</f>
        <v>622400</v>
      </c>
      <c r="I9" s="11" t="n">
        <f aca="false">G9-H9</f>
        <v>111040</v>
      </c>
      <c r="J9" s="9" t="n">
        <f aca="false">45840*16</f>
        <v>733440</v>
      </c>
      <c r="K9" s="10" t="n">
        <f aca="false">(22800+16100)*16</f>
        <v>622400</v>
      </c>
      <c r="L9" s="11" t="n">
        <f aca="false">J9-K9</f>
        <v>111040</v>
      </c>
      <c r="M9" s="9" t="n">
        <f aca="false">D9+G9+J9</f>
        <v>2200320</v>
      </c>
      <c r="N9" s="10" t="n">
        <f aca="false">E9+H9+K9</f>
        <v>1867200</v>
      </c>
      <c r="O9" s="11" t="n">
        <f aca="false">M9-N9</f>
        <v>333120</v>
      </c>
    </row>
    <row r="10" customFormat="false" ht="12.75" hidden="false" customHeight="false" outlineLevel="0" collapsed="false">
      <c r="A10" s="0" t="s">
        <v>10</v>
      </c>
      <c r="B10" s="0" t="s">
        <v>15</v>
      </c>
      <c r="C10" s="0" t="s">
        <v>12</v>
      </c>
      <c r="D10" s="9" t="n">
        <f aca="false">35325*16</f>
        <v>565200</v>
      </c>
      <c r="E10" s="10" t="n">
        <f aca="false">(25811.5+6500)*16</f>
        <v>516984</v>
      </c>
      <c r="F10" s="11" t="n">
        <f aca="false">D10-E10</f>
        <v>48216</v>
      </c>
      <c r="G10" s="9" t="n">
        <f aca="false">35325*16</f>
        <v>565200</v>
      </c>
      <c r="H10" s="10" t="n">
        <f aca="false">(25811.5+6500)*16</f>
        <v>516984</v>
      </c>
      <c r="I10" s="11" t="n">
        <f aca="false">G10-H10</f>
        <v>48216</v>
      </c>
      <c r="J10" s="9" t="n">
        <f aca="false">35325*16</f>
        <v>565200</v>
      </c>
      <c r="K10" s="10" t="n">
        <f aca="false">(25811.5+6500)*16</f>
        <v>516984</v>
      </c>
      <c r="L10" s="11" t="n">
        <f aca="false">J10-K10</f>
        <v>48216</v>
      </c>
      <c r="M10" s="9" t="n">
        <f aca="false">D10+G10+J10</f>
        <v>1695600</v>
      </c>
      <c r="N10" s="10" t="n">
        <f aca="false">E10+H10+K10</f>
        <v>1550952</v>
      </c>
      <c r="O10" s="11" t="n">
        <f aca="false">M10-N10</f>
        <v>144648</v>
      </c>
    </row>
    <row r="11" customFormat="false" ht="6" hidden="false" customHeight="true" outlineLevel="0" collapsed="false">
      <c r="D11" s="9"/>
      <c r="E11" s="10"/>
      <c r="F11" s="11"/>
      <c r="G11" s="9"/>
      <c r="H11" s="10"/>
      <c r="I11" s="11"/>
      <c r="J11" s="9"/>
      <c r="K11" s="10"/>
      <c r="L11" s="11"/>
      <c r="M11" s="9"/>
      <c r="N11" s="10"/>
      <c r="O11" s="11"/>
    </row>
    <row r="12" customFormat="false" ht="12.75" hidden="false" customHeight="false" outlineLevel="0" collapsed="false">
      <c r="A12" s="12" t="s">
        <v>10</v>
      </c>
      <c r="B12" s="3" t="s">
        <v>3</v>
      </c>
      <c r="D12" s="13" t="n">
        <f aca="false">SUM(D6:D10)</f>
        <v>2589308</v>
      </c>
      <c r="E12" s="14" t="n">
        <f aca="false">SUM(E6:E10)</f>
        <v>2327104</v>
      </c>
      <c r="F12" s="15" t="n">
        <f aca="false">SUM(F6:F10)</f>
        <v>262204</v>
      </c>
      <c r="G12" s="13" t="n">
        <f aca="false">SUM(G6:G10)</f>
        <v>2589308</v>
      </c>
      <c r="H12" s="14" t="n">
        <f aca="false">SUM(H6:H10)</f>
        <v>2327104</v>
      </c>
      <c r="I12" s="15" t="n">
        <f aca="false">SUM(I6:I10)</f>
        <v>262204</v>
      </c>
      <c r="J12" s="13" t="n">
        <f aca="false">SUM(J6:J10)</f>
        <v>2589308</v>
      </c>
      <c r="K12" s="14" t="n">
        <f aca="false">SUM(K6:K10)</f>
        <v>2327104</v>
      </c>
      <c r="L12" s="15" t="n">
        <f aca="false">SUM(L6:L10)</f>
        <v>262204</v>
      </c>
      <c r="M12" s="13" t="n">
        <f aca="false">SUM(M6:M10)</f>
        <v>7767924</v>
      </c>
      <c r="N12" s="14" t="n">
        <f aca="false">SUM(N6:N10)</f>
        <v>6981312</v>
      </c>
      <c r="O12" s="15" t="n">
        <f aca="false">SUM(O6:O10)</f>
        <v>786612</v>
      </c>
    </row>
    <row r="13" customFormat="false" ht="12.75" hidden="false" customHeight="false" outlineLevel="0" collapsed="false">
      <c r="D13" s="9"/>
      <c r="E13" s="10"/>
      <c r="F13" s="11"/>
      <c r="G13" s="9"/>
      <c r="H13" s="10"/>
      <c r="I13" s="11"/>
      <c r="J13" s="9"/>
      <c r="K13" s="10"/>
      <c r="L13" s="11"/>
      <c r="M13" s="9"/>
      <c r="N13" s="10"/>
      <c r="O13" s="11"/>
    </row>
    <row r="14" customFormat="false" ht="12.75" hidden="false" customHeight="false" outlineLevel="0" collapsed="false">
      <c r="A14" s="0" t="s">
        <v>16</v>
      </c>
      <c r="B14" s="0" t="s">
        <v>11</v>
      </c>
      <c r="C14" s="0" t="s">
        <v>12</v>
      </c>
      <c r="D14" s="9" t="n">
        <f aca="false">20289.5*16</f>
        <v>324632</v>
      </c>
      <c r="E14" s="10" t="n">
        <f aca="false">(14211+2575)*16</f>
        <v>268576</v>
      </c>
      <c r="F14" s="11" t="n">
        <f aca="false">D14-E14</f>
        <v>56056</v>
      </c>
      <c r="G14" s="9" t="n">
        <f aca="false">20289.5*16</f>
        <v>324632</v>
      </c>
      <c r="H14" s="10" t="n">
        <f aca="false">(14211+2575)*16</f>
        <v>268576</v>
      </c>
      <c r="I14" s="11" t="n">
        <f aca="false">G14-H14</f>
        <v>56056</v>
      </c>
      <c r="J14" s="9" t="n">
        <f aca="false">20289.5*16</f>
        <v>324632</v>
      </c>
      <c r="K14" s="10" t="n">
        <f aca="false">(14211+2575)*16</f>
        <v>268576</v>
      </c>
      <c r="L14" s="11" t="n">
        <f aca="false">J14-K14</f>
        <v>56056</v>
      </c>
      <c r="M14" s="9" t="n">
        <f aca="false">D14+G14+J14</f>
        <v>973896</v>
      </c>
      <c r="N14" s="10" t="n">
        <f aca="false">E14+H14+K14</f>
        <v>805728</v>
      </c>
      <c r="O14" s="11" t="n">
        <f aca="false">M14-N14</f>
        <v>168168</v>
      </c>
    </row>
    <row r="15" customFormat="false" ht="12.75" hidden="false" customHeight="false" outlineLevel="0" collapsed="false">
      <c r="A15" s="0" t="s">
        <v>16</v>
      </c>
      <c r="B15" s="0" t="s">
        <v>14</v>
      </c>
      <c r="C15" s="0" t="s">
        <v>12</v>
      </c>
      <c r="D15" s="9" t="n">
        <f aca="false">6400*16</f>
        <v>102400</v>
      </c>
      <c r="E15" s="10" t="n">
        <f aca="false">(4002+2300)*16</f>
        <v>100832</v>
      </c>
      <c r="F15" s="11" t="n">
        <f aca="false">D15-E15</f>
        <v>1568</v>
      </c>
      <c r="G15" s="9" t="n">
        <f aca="false">6400*16</f>
        <v>102400</v>
      </c>
      <c r="H15" s="10" t="n">
        <f aca="false">(4002+2300)*16</f>
        <v>100832</v>
      </c>
      <c r="I15" s="11" t="n">
        <f aca="false">G15-H15</f>
        <v>1568</v>
      </c>
      <c r="J15" s="9" t="n">
        <f aca="false">6400*16</f>
        <v>102400</v>
      </c>
      <c r="K15" s="10" t="n">
        <f aca="false">(4002+2300)*16</f>
        <v>100832</v>
      </c>
      <c r="L15" s="11" t="n">
        <f aca="false">J15-K15</f>
        <v>1568</v>
      </c>
      <c r="M15" s="9" t="n">
        <f aca="false">D15+G15+J15</f>
        <v>307200</v>
      </c>
      <c r="N15" s="10" t="n">
        <f aca="false">E15+H15+K15</f>
        <v>302496</v>
      </c>
      <c r="O15" s="11" t="n">
        <f aca="false">M15-N15</f>
        <v>4704</v>
      </c>
    </row>
    <row r="16" customFormat="false" ht="12.75" hidden="false" customHeight="false" outlineLevel="0" collapsed="false">
      <c r="A16" s="0" t="s">
        <v>16</v>
      </c>
      <c r="B16" s="0" t="s">
        <v>15</v>
      </c>
      <c r="C16" s="0" t="s">
        <v>12</v>
      </c>
      <c r="D16" s="9" t="n">
        <f aca="false">29733*16</f>
        <v>475728</v>
      </c>
      <c r="E16" s="10" t="n">
        <f aca="false">(18348.75+5687.5)*16</f>
        <v>384580</v>
      </c>
      <c r="F16" s="11" t="n">
        <f aca="false">D16-E16</f>
        <v>91148</v>
      </c>
      <c r="G16" s="9" t="n">
        <f aca="false">29733*16</f>
        <v>475728</v>
      </c>
      <c r="H16" s="10" t="n">
        <f aca="false">(18348.75+5687.5)*16</f>
        <v>384580</v>
      </c>
      <c r="I16" s="11" t="n">
        <f aca="false">G16-H16</f>
        <v>91148</v>
      </c>
      <c r="J16" s="9" t="n">
        <f aca="false">29733*16</f>
        <v>475728</v>
      </c>
      <c r="K16" s="10" t="n">
        <f aca="false">(18348.75+5687.5)*16</f>
        <v>384580</v>
      </c>
      <c r="L16" s="11" t="n">
        <f aca="false">J16-K16</f>
        <v>91148</v>
      </c>
      <c r="M16" s="9" t="n">
        <f aca="false">D16+G16+J16</f>
        <v>1427184</v>
      </c>
      <c r="N16" s="10" t="n">
        <f aca="false">E16+H16+K16</f>
        <v>1153740</v>
      </c>
      <c r="O16" s="11" t="n">
        <f aca="false">M16-N16</f>
        <v>273444</v>
      </c>
    </row>
    <row r="17" customFormat="false" ht="12.75" hidden="false" customHeight="false" outlineLevel="0" collapsed="false">
      <c r="A17" s="0" t="s">
        <v>16</v>
      </c>
      <c r="B17" s="0" t="s">
        <v>15</v>
      </c>
      <c r="C17" s="0" t="s">
        <v>6</v>
      </c>
      <c r="D17" s="9" t="n">
        <f aca="false">4400*8</f>
        <v>35200</v>
      </c>
      <c r="E17" s="10" t="n">
        <f aca="false">(1000+1912.5)*8</f>
        <v>23300</v>
      </c>
      <c r="F17" s="11" t="n">
        <f aca="false">D17-E17</f>
        <v>11900</v>
      </c>
      <c r="G17" s="9" t="n">
        <f aca="false">4400*8</f>
        <v>35200</v>
      </c>
      <c r="H17" s="10" t="n">
        <f aca="false">(1000+1912.5)*8</f>
        <v>23300</v>
      </c>
      <c r="I17" s="11" t="n">
        <f aca="false">G17-H17</f>
        <v>11900</v>
      </c>
      <c r="J17" s="9" t="n">
        <f aca="false">4400*8</f>
        <v>35200</v>
      </c>
      <c r="K17" s="10" t="n">
        <f aca="false">(1000+1912.5)*8</f>
        <v>23300</v>
      </c>
      <c r="L17" s="11" t="n">
        <f aca="false">J17-K17</f>
        <v>11900</v>
      </c>
      <c r="M17" s="9" t="n">
        <f aca="false">D17+G17+J17</f>
        <v>105600</v>
      </c>
      <c r="N17" s="10" t="n">
        <f aca="false">E17+H17+K17</f>
        <v>69900</v>
      </c>
      <c r="O17" s="11" t="n">
        <f aca="false">M17-N17</f>
        <v>35700</v>
      </c>
    </row>
    <row r="18" customFormat="false" ht="6" hidden="false" customHeight="true" outlineLevel="0" collapsed="false">
      <c r="D18" s="9"/>
      <c r="E18" s="10"/>
      <c r="F18" s="11"/>
      <c r="G18" s="9"/>
      <c r="H18" s="10"/>
      <c r="I18" s="11"/>
      <c r="J18" s="9"/>
      <c r="K18" s="10"/>
      <c r="L18" s="11"/>
      <c r="M18" s="9"/>
      <c r="N18" s="10"/>
      <c r="O18" s="11"/>
    </row>
    <row r="19" customFormat="false" ht="12.75" hidden="false" customHeight="false" outlineLevel="0" collapsed="false">
      <c r="A19" s="12" t="s">
        <v>16</v>
      </c>
      <c r="B19" s="3" t="s">
        <v>3</v>
      </c>
      <c r="D19" s="13" t="n">
        <f aca="false">SUM(D14:D17)</f>
        <v>937960</v>
      </c>
      <c r="E19" s="14" t="n">
        <f aca="false">SUM(E14:E17)</f>
        <v>777288</v>
      </c>
      <c r="F19" s="15" t="n">
        <f aca="false">SUM(F14:F17)</f>
        <v>160672</v>
      </c>
      <c r="G19" s="13" t="n">
        <f aca="false">SUM(G14:G17)</f>
        <v>937960</v>
      </c>
      <c r="H19" s="14" t="n">
        <f aca="false">SUM(H14:H17)</f>
        <v>777288</v>
      </c>
      <c r="I19" s="15" t="n">
        <f aca="false">SUM(I14:I17)</f>
        <v>160672</v>
      </c>
      <c r="J19" s="13" t="n">
        <f aca="false">SUM(J14:J17)</f>
        <v>937960</v>
      </c>
      <c r="K19" s="14" t="n">
        <f aca="false">SUM(K14:K17)</f>
        <v>777288</v>
      </c>
      <c r="L19" s="15" t="n">
        <f aca="false">SUM(L14:L17)</f>
        <v>160672</v>
      </c>
      <c r="M19" s="13" t="n">
        <f aca="false">SUM(M14:M17)</f>
        <v>2813880</v>
      </c>
      <c r="N19" s="14" t="n">
        <f aca="false">SUM(N14:N17)</f>
        <v>2331864</v>
      </c>
      <c r="O19" s="15" t="n">
        <f aca="false">SUM(O14:O17)</f>
        <v>482016</v>
      </c>
    </row>
    <row r="20" customFormat="false" ht="12.75" hidden="false" customHeight="false" outlineLevel="0" collapsed="false">
      <c r="D20" s="9"/>
      <c r="E20" s="10"/>
      <c r="F20" s="11"/>
      <c r="G20" s="9"/>
      <c r="H20" s="10"/>
      <c r="I20" s="11"/>
      <c r="J20" s="9"/>
      <c r="K20" s="10"/>
      <c r="L20" s="11"/>
      <c r="M20" s="9"/>
      <c r="N20" s="10"/>
      <c r="O20" s="11"/>
    </row>
    <row r="21" customFormat="false" ht="12.75" hidden="false" customHeight="false" outlineLevel="0" collapsed="false">
      <c r="A21" s="0" t="s">
        <v>17</v>
      </c>
      <c r="B21" s="0" t="s">
        <v>11</v>
      </c>
      <c r="C21" s="0" t="s">
        <v>12</v>
      </c>
      <c r="D21" s="9" t="n">
        <f aca="false">2037.5*16</f>
        <v>32600</v>
      </c>
      <c r="E21" s="10" t="n">
        <f aca="false">1287.5*16</f>
        <v>20600</v>
      </c>
      <c r="F21" s="11" t="n">
        <f aca="false">D21-E21</f>
        <v>12000</v>
      </c>
      <c r="G21" s="9" t="n">
        <f aca="false">2037.5*16</f>
        <v>32600</v>
      </c>
      <c r="H21" s="10" t="n">
        <f aca="false">1287.5*16</f>
        <v>20600</v>
      </c>
      <c r="I21" s="11" t="n">
        <f aca="false">G21-H21</f>
        <v>12000</v>
      </c>
      <c r="J21" s="9" t="n">
        <f aca="false">2037.5*16</f>
        <v>32600</v>
      </c>
      <c r="K21" s="10" t="n">
        <f aca="false">1287.5*16</f>
        <v>20600</v>
      </c>
      <c r="L21" s="11" t="n">
        <f aca="false">J21-K21</f>
        <v>12000</v>
      </c>
      <c r="M21" s="9" t="n">
        <f aca="false">D21+G21+J21</f>
        <v>97800</v>
      </c>
      <c r="N21" s="10" t="n">
        <f aca="false">E21+H21+K21</f>
        <v>61800</v>
      </c>
      <c r="O21" s="11" t="n">
        <f aca="false">M21-N21</f>
        <v>36000</v>
      </c>
    </row>
    <row r="22" customFormat="false" ht="12.75" hidden="false" customHeight="false" outlineLevel="0" collapsed="false">
      <c r="A22" s="0" t="s">
        <v>17</v>
      </c>
      <c r="B22" s="0" t="s">
        <v>11</v>
      </c>
      <c r="C22" s="0" t="s">
        <v>6</v>
      </c>
      <c r="D22" s="9" t="n">
        <f aca="false">4160*8</f>
        <v>33280</v>
      </c>
      <c r="E22" s="10" t="n">
        <f aca="false">4000*8</f>
        <v>32000</v>
      </c>
      <c r="F22" s="11" t="n">
        <f aca="false">D22-E22</f>
        <v>1280</v>
      </c>
      <c r="G22" s="9" t="n">
        <f aca="false">4160*8</f>
        <v>33280</v>
      </c>
      <c r="H22" s="10" t="n">
        <f aca="false">4000*8</f>
        <v>32000</v>
      </c>
      <c r="I22" s="11" t="n">
        <f aca="false">G22-H22</f>
        <v>1280</v>
      </c>
      <c r="J22" s="9" t="n">
        <f aca="false">4160*8</f>
        <v>33280</v>
      </c>
      <c r="K22" s="10" t="n">
        <f aca="false">4000*8</f>
        <v>32000</v>
      </c>
      <c r="L22" s="11" t="n">
        <f aca="false">J22-K22</f>
        <v>1280</v>
      </c>
      <c r="M22" s="9" t="n">
        <f aca="false">D22+G22+J22</f>
        <v>99840</v>
      </c>
      <c r="N22" s="10" t="n">
        <f aca="false">E22+H22+K22</f>
        <v>96000</v>
      </c>
      <c r="O22" s="11" t="n">
        <f aca="false">M22-N22</f>
        <v>3840</v>
      </c>
    </row>
    <row r="23" customFormat="false" ht="5.25" hidden="false" customHeight="true" outlineLevel="0" collapsed="false">
      <c r="D23" s="9"/>
      <c r="E23" s="10"/>
      <c r="F23" s="11"/>
      <c r="G23" s="9"/>
      <c r="H23" s="10"/>
      <c r="I23" s="11"/>
      <c r="J23" s="9"/>
      <c r="K23" s="10"/>
      <c r="L23" s="11"/>
      <c r="M23" s="9"/>
      <c r="N23" s="10"/>
      <c r="O23" s="11"/>
    </row>
    <row r="24" customFormat="false" ht="12.75" hidden="false" customHeight="false" outlineLevel="0" collapsed="false">
      <c r="A24" s="12" t="s">
        <v>17</v>
      </c>
      <c r="B24" s="3" t="s">
        <v>3</v>
      </c>
      <c r="D24" s="13" t="n">
        <f aca="false">SUM(D21:D22)</f>
        <v>65880</v>
      </c>
      <c r="E24" s="14" t="n">
        <f aca="false">SUM(E21:E22)</f>
        <v>52600</v>
      </c>
      <c r="F24" s="15" t="n">
        <f aca="false">SUM(F21:F22)</f>
        <v>13280</v>
      </c>
      <c r="G24" s="13" t="n">
        <f aca="false">SUM(G21:G22)</f>
        <v>65880</v>
      </c>
      <c r="H24" s="14" t="n">
        <f aca="false">SUM(H21:H22)</f>
        <v>52600</v>
      </c>
      <c r="I24" s="15" t="n">
        <f aca="false">SUM(I21:I22)</f>
        <v>13280</v>
      </c>
      <c r="J24" s="13" t="n">
        <f aca="false">SUM(J21:J22)</f>
        <v>65880</v>
      </c>
      <c r="K24" s="14" t="n">
        <f aca="false">SUM(K21:K22)</f>
        <v>52600</v>
      </c>
      <c r="L24" s="15" t="n">
        <f aca="false">SUM(L21:L22)</f>
        <v>13280</v>
      </c>
      <c r="M24" s="13" t="n">
        <f aca="false">SUM(M21:M22)</f>
        <v>197640</v>
      </c>
      <c r="N24" s="14" t="n">
        <f aca="false">SUM(N21:N22)</f>
        <v>157800</v>
      </c>
      <c r="O24" s="15" t="n">
        <f aca="false">SUM(O21:O22)</f>
        <v>39840</v>
      </c>
    </row>
    <row r="25" customFormat="false" ht="12.75" hidden="false" customHeight="false" outlineLevel="0" collapsed="false">
      <c r="D25" s="9"/>
      <c r="E25" s="10"/>
      <c r="F25" s="11"/>
      <c r="G25" s="9"/>
      <c r="H25" s="10"/>
      <c r="I25" s="11"/>
      <c r="J25" s="9"/>
      <c r="K25" s="10"/>
      <c r="L25" s="11"/>
      <c r="M25" s="9"/>
      <c r="N25" s="10"/>
      <c r="O25" s="11"/>
    </row>
    <row r="26" customFormat="false" ht="12.75" hidden="false" customHeight="false" outlineLevel="0" collapsed="false">
      <c r="A26" s="0" t="s">
        <v>18</v>
      </c>
      <c r="B26" s="0" t="s">
        <v>11</v>
      </c>
      <c r="C26" s="0" t="s">
        <v>12</v>
      </c>
      <c r="D26" s="9" t="n">
        <f aca="false">4323*16</f>
        <v>69168</v>
      </c>
      <c r="E26" s="10" t="n">
        <f aca="false">3068*16</f>
        <v>49088</v>
      </c>
      <c r="F26" s="11" t="n">
        <f aca="false">D26-E26</f>
        <v>20080</v>
      </c>
      <c r="G26" s="9" t="n">
        <f aca="false">4323*16</f>
        <v>69168</v>
      </c>
      <c r="H26" s="10" t="n">
        <f aca="false">3068*16</f>
        <v>49088</v>
      </c>
      <c r="I26" s="11" t="n">
        <f aca="false">G26-H26</f>
        <v>20080</v>
      </c>
      <c r="J26" s="9" t="n">
        <f aca="false">4323*16</f>
        <v>69168</v>
      </c>
      <c r="K26" s="10" t="n">
        <f aca="false">3068*16</f>
        <v>49088</v>
      </c>
      <c r="L26" s="11" t="n">
        <f aca="false">J26-K26</f>
        <v>20080</v>
      </c>
      <c r="M26" s="9" t="n">
        <f aca="false">D26+G26+J26</f>
        <v>207504</v>
      </c>
      <c r="N26" s="10" t="n">
        <f aca="false">E26+H26+K26</f>
        <v>147264</v>
      </c>
      <c r="O26" s="11" t="n">
        <f aca="false">M26-N26</f>
        <v>60240</v>
      </c>
    </row>
    <row r="27" customFormat="false" ht="12.75" hidden="false" customHeight="false" outlineLevel="0" collapsed="false">
      <c r="A27" s="0" t="s">
        <v>18</v>
      </c>
      <c r="B27" s="0" t="s">
        <v>15</v>
      </c>
      <c r="C27" s="0" t="s">
        <v>12</v>
      </c>
      <c r="D27" s="9" t="n">
        <f aca="false">62730*16</f>
        <v>1003680</v>
      </c>
      <c r="E27" s="10" t="n">
        <f aca="false">(24153.75+21125)*16</f>
        <v>724460</v>
      </c>
      <c r="F27" s="11" t="n">
        <f aca="false">D27-E27</f>
        <v>279220</v>
      </c>
      <c r="G27" s="9" t="n">
        <f aca="false">62730*16</f>
        <v>1003680</v>
      </c>
      <c r="H27" s="10" t="n">
        <f aca="false">(24153.75+21125)*16</f>
        <v>724460</v>
      </c>
      <c r="I27" s="11" t="n">
        <f aca="false">G27-H27</f>
        <v>279220</v>
      </c>
      <c r="J27" s="9" t="n">
        <f aca="false">62730*16</f>
        <v>1003680</v>
      </c>
      <c r="K27" s="10" t="n">
        <f aca="false">(24153.75+21125)*16</f>
        <v>724460</v>
      </c>
      <c r="L27" s="11" t="n">
        <f aca="false">J27-K27</f>
        <v>279220</v>
      </c>
      <c r="M27" s="9" t="n">
        <f aca="false">D27+G27+J27</f>
        <v>3011040</v>
      </c>
      <c r="N27" s="10" t="n">
        <f aca="false">E27+H27+K27</f>
        <v>2173380</v>
      </c>
      <c r="O27" s="11" t="n">
        <f aca="false">M27-N27</f>
        <v>837660</v>
      </c>
    </row>
    <row r="28" customFormat="false" ht="12.75" hidden="false" customHeight="false" outlineLevel="0" collapsed="false">
      <c r="A28" s="0" t="s">
        <v>18</v>
      </c>
      <c r="B28" s="0" t="s">
        <v>15</v>
      </c>
      <c r="C28" s="0" t="s">
        <v>6</v>
      </c>
      <c r="D28" s="9" t="n">
        <f aca="false">(13367.25+2550)*8</f>
        <v>127338</v>
      </c>
      <c r="E28" s="10" t="n">
        <f aca="false">16949*8</f>
        <v>135592</v>
      </c>
      <c r="F28" s="11" t="n">
        <f aca="false">D28-E28</f>
        <v>-8254</v>
      </c>
      <c r="G28" s="9" t="n">
        <f aca="false">(13367.25+2550)*8</f>
        <v>127338</v>
      </c>
      <c r="H28" s="10" t="n">
        <f aca="false">16949*8</f>
        <v>135592</v>
      </c>
      <c r="I28" s="11" t="n">
        <f aca="false">G28-H28</f>
        <v>-8254</v>
      </c>
      <c r="J28" s="9" t="n">
        <f aca="false">(13367.25+2550)*8</f>
        <v>127338</v>
      </c>
      <c r="K28" s="10" t="n">
        <f aca="false">16949*8</f>
        <v>135592</v>
      </c>
      <c r="L28" s="11" t="n">
        <f aca="false">J28-K28</f>
        <v>-8254</v>
      </c>
      <c r="M28" s="9" t="n">
        <f aca="false">D28+G28+J28</f>
        <v>382014</v>
      </c>
      <c r="N28" s="10" t="n">
        <f aca="false">E28+H28+K28</f>
        <v>406776</v>
      </c>
      <c r="O28" s="11" t="n">
        <f aca="false">M28-N28</f>
        <v>-24762</v>
      </c>
    </row>
    <row r="29" customFormat="false" ht="6" hidden="false" customHeight="true" outlineLevel="0" collapsed="false">
      <c r="D29" s="9"/>
      <c r="E29" s="10"/>
      <c r="F29" s="11"/>
      <c r="G29" s="9"/>
      <c r="H29" s="10"/>
      <c r="I29" s="11"/>
      <c r="J29" s="9"/>
      <c r="K29" s="10"/>
      <c r="L29" s="11"/>
      <c r="M29" s="9"/>
      <c r="N29" s="10"/>
      <c r="O29" s="11"/>
    </row>
    <row r="30" customFormat="false" ht="12.75" hidden="false" customHeight="false" outlineLevel="0" collapsed="false">
      <c r="A30" s="12" t="s">
        <v>18</v>
      </c>
      <c r="B30" s="3" t="s">
        <v>3</v>
      </c>
      <c r="D30" s="13" t="n">
        <f aca="false">SUM(D26:D28)</f>
        <v>1200186</v>
      </c>
      <c r="E30" s="14" t="n">
        <f aca="false">SUM(E26:E28)</f>
        <v>909140</v>
      </c>
      <c r="F30" s="15" t="n">
        <f aca="false">SUM(F26:F28)</f>
        <v>291046</v>
      </c>
      <c r="G30" s="13" t="n">
        <f aca="false">SUM(G26:G28)</f>
        <v>1200186</v>
      </c>
      <c r="H30" s="14" t="n">
        <f aca="false">SUM(H26:H28)</f>
        <v>909140</v>
      </c>
      <c r="I30" s="15" t="n">
        <f aca="false">SUM(I26:I28)</f>
        <v>291046</v>
      </c>
      <c r="J30" s="13" t="n">
        <f aca="false">SUM(J26:J28)</f>
        <v>1200186</v>
      </c>
      <c r="K30" s="14" t="n">
        <f aca="false">SUM(K26:K28)</f>
        <v>909140</v>
      </c>
      <c r="L30" s="15" t="n">
        <f aca="false">SUM(L26:L28)</f>
        <v>291046</v>
      </c>
      <c r="M30" s="13" t="n">
        <f aca="false">SUM(M26:M28)</f>
        <v>3600558</v>
      </c>
      <c r="N30" s="14" t="n">
        <f aca="false">SUM(N26:N28)</f>
        <v>2727420</v>
      </c>
      <c r="O30" s="15" t="n">
        <f aca="false">SUM(O26:O28)</f>
        <v>873138</v>
      </c>
    </row>
    <row r="31" customFormat="false" ht="12.75" hidden="false" customHeight="false" outlineLevel="0" collapsed="false">
      <c r="D31" s="9"/>
      <c r="E31" s="10"/>
      <c r="F31" s="11"/>
      <c r="G31" s="9"/>
      <c r="H31" s="10"/>
      <c r="I31" s="11"/>
      <c r="J31" s="9"/>
      <c r="K31" s="10"/>
      <c r="L31" s="11"/>
      <c r="M31" s="9"/>
      <c r="N31" s="10"/>
      <c r="O31" s="11"/>
    </row>
    <row r="32" customFormat="false" ht="12.75" hidden="false" customHeight="false" outlineLevel="0" collapsed="false">
      <c r="A32" s="0" t="s">
        <v>19</v>
      </c>
      <c r="B32" s="0" t="s">
        <v>20</v>
      </c>
      <c r="C32" s="0" t="s">
        <v>12</v>
      </c>
      <c r="D32" s="9" t="n">
        <f aca="false">1540*16</f>
        <v>24640</v>
      </c>
      <c r="E32" s="10" t="n">
        <f aca="false">1150*16</f>
        <v>18400</v>
      </c>
      <c r="F32" s="11" t="n">
        <f aca="false">D32-E32</f>
        <v>6240</v>
      </c>
      <c r="G32" s="9" t="n">
        <f aca="false">1540*16</f>
        <v>24640</v>
      </c>
      <c r="H32" s="10" t="n">
        <f aca="false">1150*16</f>
        <v>18400</v>
      </c>
      <c r="I32" s="11" t="n">
        <f aca="false">G32-H32</f>
        <v>6240</v>
      </c>
      <c r="J32" s="9" t="n">
        <f aca="false">1540*16</f>
        <v>24640</v>
      </c>
      <c r="K32" s="10" t="n">
        <f aca="false">1150*16</f>
        <v>18400</v>
      </c>
      <c r="L32" s="11" t="n">
        <f aca="false">J32-K32</f>
        <v>6240</v>
      </c>
      <c r="M32" s="9" t="n">
        <f aca="false">D32+G32+J32</f>
        <v>73920</v>
      </c>
      <c r="N32" s="10" t="n">
        <f aca="false">E32+H32+K32</f>
        <v>55200</v>
      </c>
      <c r="O32" s="11" t="n">
        <f aca="false">M32-N32</f>
        <v>18720</v>
      </c>
    </row>
    <row r="33" customFormat="false" ht="12.75" hidden="false" customHeight="false" outlineLevel="0" collapsed="false">
      <c r="A33" s="0" t="s">
        <v>19</v>
      </c>
      <c r="B33" s="0" t="s">
        <v>20</v>
      </c>
      <c r="C33" s="0" t="s">
        <v>6</v>
      </c>
      <c r="D33" s="9" t="n">
        <f aca="false">1112.5*8</f>
        <v>8900</v>
      </c>
      <c r="E33" s="10" t="n">
        <f aca="false">900*8</f>
        <v>7200</v>
      </c>
      <c r="F33" s="11" t="n">
        <f aca="false">D33-E33</f>
        <v>1700</v>
      </c>
      <c r="G33" s="9" t="n">
        <f aca="false">1112.5*8</f>
        <v>8900</v>
      </c>
      <c r="H33" s="10" t="n">
        <f aca="false">900*8</f>
        <v>7200</v>
      </c>
      <c r="I33" s="11" t="n">
        <f aca="false">G33-H33</f>
        <v>1700</v>
      </c>
      <c r="J33" s="9" t="n">
        <f aca="false">1112.5*8</f>
        <v>8900</v>
      </c>
      <c r="K33" s="10" t="n">
        <f aca="false">900*8</f>
        <v>7200</v>
      </c>
      <c r="L33" s="11" t="n">
        <f aca="false">J33-K33</f>
        <v>1700</v>
      </c>
      <c r="M33" s="9" t="n">
        <f aca="false">D33+G33+J33</f>
        <v>26700</v>
      </c>
      <c r="N33" s="10" t="n">
        <f aca="false">E33+H33+K33</f>
        <v>21600</v>
      </c>
      <c r="O33" s="11" t="n">
        <f aca="false">M33-N33</f>
        <v>5100</v>
      </c>
    </row>
    <row r="34" customFormat="false" ht="12.75" hidden="false" customHeight="false" outlineLevel="0" collapsed="false">
      <c r="A34" s="0" t="s">
        <v>19</v>
      </c>
      <c r="B34" s="0" t="s">
        <v>14</v>
      </c>
      <c r="C34" s="0" t="s">
        <v>12</v>
      </c>
      <c r="D34" s="9" t="n">
        <f aca="false">5314.5*16</f>
        <v>85032</v>
      </c>
      <c r="E34" s="10" t="n">
        <f aca="false">(1110+2300)*16</f>
        <v>54560</v>
      </c>
      <c r="F34" s="11" t="n">
        <f aca="false">D34-E34</f>
        <v>30472</v>
      </c>
      <c r="G34" s="9" t="n">
        <f aca="false">5314.5*16</f>
        <v>85032</v>
      </c>
      <c r="H34" s="10" t="n">
        <f aca="false">(1110+2300)*16</f>
        <v>54560</v>
      </c>
      <c r="I34" s="11" t="n">
        <f aca="false">G34-H34</f>
        <v>30472</v>
      </c>
      <c r="J34" s="9" t="n">
        <f aca="false">5314.5*16</f>
        <v>85032</v>
      </c>
      <c r="K34" s="10" t="n">
        <f aca="false">(1110+2300)*16</f>
        <v>54560</v>
      </c>
      <c r="L34" s="11" t="n">
        <f aca="false">J34-K34</f>
        <v>30472</v>
      </c>
      <c r="M34" s="9" t="n">
        <f aca="false">D34+G34+J34</f>
        <v>255096</v>
      </c>
      <c r="N34" s="10" t="n">
        <f aca="false">E34+H34+K34</f>
        <v>163680</v>
      </c>
      <c r="O34" s="11" t="n">
        <f aca="false">M34-N34</f>
        <v>91416</v>
      </c>
    </row>
    <row r="35" customFormat="false" ht="6" hidden="false" customHeight="true" outlineLevel="0" collapsed="false">
      <c r="D35" s="9"/>
      <c r="E35" s="10"/>
      <c r="F35" s="11"/>
      <c r="G35" s="9"/>
      <c r="H35" s="10"/>
      <c r="I35" s="11"/>
      <c r="J35" s="9"/>
      <c r="K35" s="10"/>
      <c r="L35" s="11"/>
      <c r="M35" s="9"/>
      <c r="N35" s="10"/>
      <c r="O35" s="11"/>
    </row>
    <row r="36" customFormat="false" ht="12.75" hidden="false" customHeight="false" outlineLevel="0" collapsed="false">
      <c r="A36" s="12" t="s">
        <v>19</v>
      </c>
      <c r="B36" s="3" t="s">
        <v>3</v>
      </c>
      <c r="D36" s="13" t="n">
        <f aca="false">SUM(D32:D34)</f>
        <v>118572</v>
      </c>
      <c r="E36" s="14" t="n">
        <f aca="false">SUM(E32:E34)</f>
        <v>80160</v>
      </c>
      <c r="F36" s="15" t="n">
        <f aca="false">SUM(F32:F34)</f>
        <v>38412</v>
      </c>
      <c r="G36" s="13" t="n">
        <f aca="false">SUM(G32:G34)</f>
        <v>118572</v>
      </c>
      <c r="H36" s="14" t="n">
        <f aca="false">SUM(H32:H34)</f>
        <v>80160</v>
      </c>
      <c r="I36" s="15" t="n">
        <f aca="false">SUM(I32:I34)</f>
        <v>38412</v>
      </c>
      <c r="J36" s="13" t="n">
        <f aca="false">SUM(J32:J34)</f>
        <v>118572</v>
      </c>
      <c r="K36" s="14" t="n">
        <f aca="false">SUM(K32:K34)</f>
        <v>80160</v>
      </c>
      <c r="L36" s="15" t="n">
        <f aca="false">SUM(L32:L34)</f>
        <v>38412</v>
      </c>
      <c r="M36" s="13" t="n">
        <f aca="false">SUM(M32:M34)</f>
        <v>355716</v>
      </c>
      <c r="N36" s="14" t="n">
        <f aca="false">SUM(N32:N34)</f>
        <v>240480</v>
      </c>
      <c r="O36" s="15" t="n">
        <f aca="false">SUM(O32:O34)</f>
        <v>115236</v>
      </c>
    </row>
    <row r="37" customFormat="false" ht="12.75" hidden="false" customHeight="false" outlineLevel="0" collapsed="false">
      <c r="D37" s="9"/>
      <c r="E37" s="10"/>
      <c r="F37" s="11"/>
      <c r="G37" s="9"/>
      <c r="H37" s="10"/>
      <c r="I37" s="11"/>
      <c r="J37" s="9"/>
      <c r="K37" s="10"/>
      <c r="L37" s="11"/>
      <c r="M37" s="9"/>
      <c r="N37" s="10"/>
      <c r="O37" s="11"/>
    </row>
    <row r="38" customFormat="false" ht="12.75" hidden="false" customHeight="false" outlineLevel="0" collapsed="false">
      <c r="A38" s="0" t="s">
        <v>21</v>
      </c>
      <c r="B38" s="0" t="s">
        <v>15</v>
      </c>
      <c r="C38" s="0" t="s">
        <v>12</v>
      </c>
      <c r="D38" s="9" t="n">
        <f aca="false">3400*16</f>
        <v>54400</v>
      </c>
      <c r="E38" s="10" t="n">
        <f aca="false">1625*16</f>
        <v>26000</v>
      </c>
      <c r="F38" s="11" t="n">
        <f aca="false">D38-E38</f>
        <v>28400</v>
      </c>
      <c r="G38" s="9" t="n">
        <f aca="false">3400*16</f>
        <v>54400</v>
      </c>
      <c r="H38" s="10" t="n">
        <f aca="false">1625*16</f>
        <v>26000</v>
      </c>
      <c r="I38" s="11" t="n">
        <f aca="false">G38-H38</f>
        <v>28400</v>
      </c>
      <c r="J38" s="9" t="n">
        <f aca="false">3400*16</f>
        <v>54400</v>
      </c>
      <c r="K38" s="10" t="n">
        <f aca="false">1625*16</f>
        <v>26000</v>
      </c>
      <c r="L38" s="11" t="n">
        <f aca="false">J38-K38</f>
        <v>28400</v>
      </c>
      <c r="M38" s="9" t="n">
        <f aca="false">D38+G38+J38</f>
        <v>163200</v>
      </c>
      <c r="N38" s="10" t="n">
        <f aca="false">E38+H38+K38</f>
        <v>78000</v>
      </c>
      <c r="O38" s="11" t="n">
        <f aca="false">M38-N38</f>
        <v>85200</v>
      </c>
    </row>
    <row r="39" customFormat="false" ht="12.75" hidden="false" customHeight="false" outlineLevel="0" collapsed="false">
      <c r="D39" s="9"/>
      <c r="E39" s="10"/>
      <c r="F39" s="11"/>
      <c r="G39" s="9"/>
      <c r="H39" s="10"/>
      <c r="I39" s="11"/>
      <c r="J39" s="9"/>
      <c r="K39" s="10"/>
      <c r="L39" s="11"/>
      <c r="M39" s="9"/>
      <c r="N39" s="10"/>
      <c r="O39" s="11"/>
    </row>
    <row r="40" customFormat="false" ht="12.75" hidden="false" customHeight="false" outlineLevel="0" collapsed="false">
      <c r="A40" s="0" t="s">
        <v>22</v>
      </c>
      <c r="B40" s="0" t="s">
        <v>15</v>
      </c>
      <c r="C40" s="0" t="s">
        <v>12</v>
      </c>
      <c r="D40" s="9" t="n">
        <f aca="false">1525.7*16</f>
        <v>24411.2</v>
      </c>
      <c r="E40" s="10" t="n">
        <f aca="false">1186.25*16</f>
        <v>18980</v>
      </c>
      <c r="F40" s="11" t="n">
        <f aca="false">D40-E40</f>
        <v>5431.2</v>
      </c>
      <c r="G40" s="9" t="n">
        <f aca="false">1525.7*16</f>
        <v>24411.2</v>
      </c>
      <c r="H40" s="10" t="n">
        <f aca="false">1186.25*16</f>
        <v>18980</v>
      </c>
      <c r="I40" s="11" t="n">
        <f aca="false">G40-H40</f>
        <v>5431.2</v>
      </c>
      <c r="J40" s="9" t="n">
        <f aca="false">1525.7*16</f>
        <v>24411.2</v>
      </c>
      <c r="K40" s="10" t="n">
        <f aca="false">1186.25*16</f>
        <v>18980</v>
      </c>
      <c r="L40" s="11" t="n">
        <f aca="false">J40-K40</f>
        <v>5431.2</v>
      </c>
      <c r="M40" s="9" t="n">
        <f aca="false">D40+G40+J40</f>
        <v>73233.6</v>
      </c>
      <c r="N40" s="10" t="n">
        <f aca="false">E40+H40+K40</f>
        <v>56940</v>
      </c>
      <c r="O40" s="11" t="n">
        <f aca="false">M40-N40</f>
        <v>16293.6</v>
      </c>
    </row>
    <row r="41" customFormat="false" ht="12.75" hidden="false" customHeight="false" outlineLevel="0" collapsed="false">
      <c r="D41" s="9"/>
      <c r="E41" s="10"/>
      <c r="F41" s="11"/>
      <c r="G41" s="9"/>
      <c r="H41" s="10"/>
      <c r="I41" s="11"/>
      <c r="J41" s="9"/>
      <c r="K41" s="10"/>
      <c r="L41" s="11"/>
      <c r="M41" s="9"/>
      <c r="N41" s="10"/>
      <c r="O41" s="11"/>
    </row>
    <row r="42" customFormat="false" ht="12.75" hidden="false" customHeight="false" outlineLevel="0" collapsed="false">
      <c r="A42" s="0" t="s">
        <v>23</v>
      </c>
      <c r="B42" s="0" t="s">
        <v>24</v>
      </c>
      <c r="C42" s="0" t="s">
        <v>12</v>
      </c>
      <c r="D42" s="9" t="n">
        <f aca="false">1502.5*16</f>
        <v>24040</v>
      </c>
      <c r="E42" s="10" t="n">
        <f aca="false">1050*16</f>
        <v>16800</v>
      </c>
      <c r="F42" s="11" t="n">
        <f aca="false">D42-E42</f>
        <v>7240</v>
      </c>
      <c r="G42" s="9" t="n">
        <f aca="false">1502.5*16</f>
        <v>24040</v>
      </c>
      <c r="H42" s="10" t="n">
        <f aca="false">1050*16</f>
        <v>16800</v>
      </c>
      <c r="I42" s="11" t="n">
        <f aca="false">G42-H42</f>
        <v>7240</v>
      </c>
      <c r="J42" s="9" t="n">
        <f aca="false">1502.5*16</f>
        <v>24040</v>
      </c>
      <c r="K42" s="10" t="n">
        <f aca="false">1050*16</f>
        <v>16800</v>
      </c>
      <c r="L42" s="11" t="n">
        <f aca="false">J42-K42</f>
        <v>7240</v>
      </c>
      <c r="M42" s="9" t="n">
        <f aca="false">D42+G42+J42</f>
        <v>72120</v>
      </c>
      <c r="N42" s="10" t="n">
        <f aca="false">E42+H42+K42</f>
        <v>50400</v>
      </c>
      <c r="O42" s="11" t="n">
        <f aca="false">M42-N42</f>
        <v>21720</v>
      </c>
    </row>
    <row r="43" customFormat="false" ht="12.75" hidden="false" customHeight="false" outlineLevel="0" collapsed="false">
      <c r="A43" s="0" t="s">
        <v>23</v>
      </c>
      <c r="B43" s="0" t="s">
        <v>25</v>
      </c>
      <c r="C43" s="0" t="s">
        <v>12</v>
      </c>
      <c r="D43" s="9" t="n">
        <f aca="false">1050*16</f>
        <v>16800</v>
      </c>
      <c r="E43" s="10" t="n">
        <f aca="false">1407.5*16</f>
        <v>22520</v>
      </c>
      <c r="F43" s="11" t="n">
        <f aca="false">D43-E43</f>
        <v>-5720</v>
      </c>
      <c r="G43" s="9" t="n">
        <f aca="false">1050*16</f>
        <v>16800</v>
      </c>
      <c r="H43" s="10" t="n">
        <f aca="false">1407.5*16</f>
        <v>22520</v>
      </c>
      <c r="I43" s="11" t="n">
        <f aca="false">G43-H43</f>
        <v>-5720</v>
      </c>
      <c r="J43" s="9" t="n">
        <f aca="false">1050*16</f>
        <v>16800</v>
      </c>
      <c r="K43" s="10" t="n">
        <f aca="false">1407.5*16</f>
        <v>22520</v>
      </c>
      <c r="L43" s="11" t="n">
        <f aca="false">J43-K43</f>
        <v>-5720</v>
      </c>
      <c r="M43" s="9" t="n">
        <f aca="false">D43+G43+J43</f>
        <v>50400</v>
      </c>
      <c r="N43" s="10" t="n">
        <f aca="false">E43+H43+K43</f>
        <v>67560</v>
      </c>
      <c r="O43" s="11" t="n">
        <f aca="false">M43-N43</f>
        <v>-17160</v>
      </c>
    </row>
    <row r="44" customFormat="false" ht="12.75" hidden="false" customHeight="false" outlineLevel="0" collapsed="false">
      <c r="A44" s="0" t="s">
        <v>23</v>
      </c>
      <c r="B44" s="0" t="s">
        <v>13</v>
      </c>
      <c r="C44" s="0" t="s">
        <v>12</v>
      </c>
      <c r="D44" s="9" t="n">
        <f aca="false">7347*16</f>
        <v>117552</v>
      </c>
      <c r="E44" s="10" t="n">
        <f aca="false">8859*16</f>
        <v>141744</v>
      </c>
      <c r="F44" s="11" t="n">
        <f aca="false">D44-E44</f>
        <v>-24192</v>
      </c>
      <c r="G44" s="9" t="n">
        <f aca="false">7347*16</f>
        <v>117552</v>
      </c>
      <c r="H44" s="10" t="n">
        <f aca="false">8859*16</f>
        <v>141744</v>
      </c>
      <c r="I44" s="11" t="n">
        <f aca="false">G44-H44</f>
        <v>-24192</v>
      </c>
      <c r="J44" s="9" t="n">
        <f aca="false">7347*16</f>
        <v>117552</v>
      </c>
      <c r="K44" s="10" t="n">
        <f aca="false">8859*16</f>
        <v>141744</v>
      </c>
      <c r="L44" s="11" t="n">
        <f aca="false">J44-K44</f>
        <v>-24192</v>
      </c>
      <c r="M44" s="9" t="n">
        <f aca="false">D44+G44+J44</f>
        <v>352656</v>
      </c>
      <c r="N44" s="10" t="n">
        <f aca="false">E44+H44+K44</f>
        <v>425232</v>
      </c>
      <c r="O44" s="11" t="n">
        <f aca="false">M44-N44</f>
        <v>-72576</v>
      </c>
    </row>
    <row r="45" customFormat="false" ht="12.75" hidden="false" customHeight="false" outlineLevel="0" collapsed="false">
      <c r="A45" s="0" t="s">
        <v>23</v>
      </c>
      <c r="B45" s="0" t="s">
        <v>14</v>
      </c>
      <c r="C45" s="0" t="s">
        <v>12</v>
      </c>
      <c r="D45" s="9" t="n">
        <f aca="false">34749*16</f>
        <v>555984</v>
      </c>
      <c r="E45" s="10" t="n">
        <f aca="false">37375*16</f>
        <v>598000</v>
      </c>
      <c r="F45" s="11" t="n">
        <f aca="false">D45-E45</f>
        <v>-42016</v>
      </c>
      <c r="G45" s="9" t="n">
        <f aca="false">34749*16</f>
        <v>555984</v>
      </c>
      <c r="H45" s="10" t="n">
        <f aca="false">37375*16</f>
        <v>598000</v>
      </c>
      <c r="I45" s="11" t="n">
        <f aca="false">G45-H45</f>
        <v>-42016</v>
      </c>
      <c r="J45" s="9" t="n">
        <f aca="false">34749*16</f>
        <v>555984</v>
      </c>
      <c r="K45" s="10" t="n">
        <f aca="false">37375*16</f>
        <v>598000</v>
      </c>
      <c r="L45" s="11" t="n">
        <f aca="false">J45-K45</f>
        <v>-42016</v>
      </c>
      <c r="M45" s="9" t="n">
        <f aca="false">D45+G45+J45</f>
        <v>1667952</v>
      </c>
      <c r="N45" s="10" t="n">
        <f aca="false">E45+H45+K45</f>
        <v>1794000</v>
      </c>
      <c r="O45" s="11" t="n">
        <f aca="false">M45-N45</f>
        <v>-126048</v>
      </c>
    </row>
    <row r="46" customFormat="false" ht="6" hidden="false" customHeight="true" outlineLevel="0" collapsed="false">
      <c r="D46" s="9"/>
      <c r="E46" s="10"/>
      <c r="F46" s="11"/>
      <c r="G46" s="9"/>
      <c r="H46" s="10"/>
      <c r="I46" s="11"/>
      <c r="J46" s="9"/>
      <c r="K46" s="10"/>
      <c r="L46" s="11"/>
      <c r="M46" s="9"/>
      <c r="N46" s="10"/>
      <c r="O46" s="11"/>
    </row>
    <row r="47" customFormat="false" ht="12.75" hidden="false" customHeight="false" outlineLevel="0" collapsed="false">
      <c r="A47" s="12" t="s">
        <v>23</v>
      </c>
      <c r="B47" s="3" t="s">
        <v>3</v>
      </c>
      <c r="D47" s="13" t="n">
        <f aca="false">SUM(D42:D45)</f>
        <v>714376</v>
      </c>
      <c r="E47" s="14" t="n">
        <f aca="false">SUM(E42:E45)</f>
        <v>779064</v>
      </c>
      <c r="F47" s="15" t="n">
        <f aca="false">SUM(F42:F45)</f>
        <v>-64688</v>
      </c>
      <c r="G47" s="13" t="n">
        <f aca="false">SUM(G42:G45)</f>
        <v>714376</v>
      </c>
      <c r="H47" s="14" t="n">
        <f aca="false">SUM(H42:H45)</f>
        <v>779064</v>
      </c>
      <c r="I47" s="15" t="n">
        <f aca="false">SUM(I42:I45)</f>
        <v>-64688</v>
      </c>
      <c r="J47" s="13" t="n">
        <f aca="false">SUM(J42:J45)</f>
        <v>714376</v>
      </c>
      <c r="K47" s="14" t="n">
        <f aca="false">SUM(K42:K45)</f>
        <v>779064</v>
      </c>
      <c r="L47" s="15" t="n">
        <f aca="false">SUM(L42:L45)</f>
        <v>-64688</v>
      </c>
      <c r="M47" s="13" t="n">
        <f aca="false">SUM(M42:M45)</f>
        <v>2143128</v>
      </c>
      <c r="N47" s="14" t="n">
        <f aca="false">SUM(N42:N45)</f>
        <v>2337192</v>
      </c>
      <c r="O47" s="15" t="n">
        <f aca="false">SUM(O42:O45)</f>
        <v>-194064</v>
      </c>
    </row>
    <row r="48" customFormat="false" ht="12.75" hidden="false" customHeight="false" outlineLevel="0" collapsed="false">
      <c r="D48" s="9"/>
      <c r="E48" s="10"/>
      <c r="F48" s="11"/>
      <c r="G48" s="9"/>
      <c r="H48" s="10"/>
      <c r="I48" s="11"/>
      <c r="J48" s="9"/>
      <c r="K48" s="10"/>
      <c r="L48" s="11"/>
      <c r="M48" s="9"/>
      <c r="N48" s="10"/>
      <c r="O48" s="11"/>
    </row>
    <row r="49" customFormat="false" ht="12.75" hidden="false" customHeight="false" outlineLevel="0" collapsed="false">
      <c r="A49" s="0" t="s">
        <v>26</v>
      </c>
      <c r="B49" s="0" t="s">
        <v>24</v>
      </c>
      <c r="C49" s="0" t="s">
        <v>12</v>
      </c>
      <c r="D49" s="9" t="n">
        <f aca="false">(2970+1050)*16</f>
        <v>64320</v>
      </c>
      <c r="E49" s="10" t="n">
        <f aca="false">4717.5*16</f>
        <v>75480</v>
      </c>
      <c r="F49" s="11" t="n">
        <f aca="false">D49-E49</f>
        <v>-11160</v>
      </c>
      <c r="G49" s="9" t="n">
        <f aca="false">(2970+1050)*16</f>
        <v>64320</v>
      </c>
      <c r="H49" s="10" t="n">
        <f aca="false">4717.5*16</f>
        <v>75480</v>
      </c>
      <c r="I49" s="11" t="n">
        <f aca="false">G49-H49</f>
        <v>-11160</v>
      </c>
      <c r="J49" s="9" t="n">
        <f aca="false">(2970+1050)*16</f>
        <v>64320</v>
      </c>
      <c r="K49" s="10" t="n">
        <f aca="false">4717.5*16</f>
        <v>75480</v>
      </c>
      <c r="L49" s="11" t="n">
        <f aca="false">J49-K49</f>
        <v>-11160</v>
      </c>
      <c r="M49" s="9" t="n">
        <f aca="false">D49+G49+J49</f>
        <v>192960</v>
      </c>
      <c r="N49" s="10" t="n">
        <f aca="false">E49+H49+K49</f>
        <v>226440</v>
      </c>
      <c r="O49" s="11" t="n">
        <f aca="false">M49-N49</f>
        <v>-33480</v>
      </c>
    </row>
    <row r="50" customFormat="false" ht="12.75" hidden="false" customHeight="false" outlineLevel="0" collapsed="false">
      <c r="A50" s="0" t="s">
        <v>26</v>
      </c>
      <c r="B50" s="0" t="s">
        <v>20</v>
      </c>
      <c r="C50" s="0" t="s">
        <v>12</v>
      </c>
      <c r="D50" s="9" t="n">
        <v>0</v>
      </c>
      <c r="E50" s="10" t="n">
        <v>0</v>
      </c>
      <c r="F50" s="11" t="n">
        <f aca="false">D50-E50</f>
        <v>0</v>
      </c>
      <c r="G50" s="9" t="n">
        <v>0</v>
      </c>
      <c r="H50" s="10" t="n">
        <v>0</v>
      </c>
      <c r="I50" s="11" t="n">
        <f aca="false">G50-H50</f>
        <v>0</v>
      </c>
      <c r="J50" s="9" t="n">
        <v>0</v>
      </c>
      <c r="K50" s="10" t="n">
        <v>0</v>
      </c>
      <c r="L50" s="11" t="n">
        <f aca="false">J50-K50</f>
        <v>0</v>
      </c>
      <c r="M50" s="9" t="n">
        <f aca="false">D50+G50+J50</f>
        <v>0</v>
      </c>
      <c r="N50" s="10" t="n">
        <f aca="false">E50+H50+K50</f>
        <v>0</v>
      </c>
      <c r="O50" s="11" t="n">
        <f aca="false">M50-N50</f>
        <v>0</v>
      </c>
    </row>
    <row r="51" customFormat="false" ht="12.75" hidden="false" customHeight="false" outlineLevel="0" collapsed="false">
      <c r="A51" s="0" t="s">
        <v>26</v>
      </c>
      <c r="B51" s="0" t="s">
        <v>20</v>
      </c>
      <c r="C51" s="0" t="s">
        <v>6</v>
      </c>
      <c r="D51" s="9" t="n">
        <f aca="false">900*8</f>
        <v>7200</v>
      </c>
      <c r="E51" s="10" t="n">
        <f aca="false">1105*8</f>
        <v>8840</v>
      </c>
      <c r="F51" s="11" t="n">
        <f aca="false">D51-E51</f>
        <v>-1640</v>
      </c>
      <c r="G51" s="9" t="n">
        <f aca="false">900*8</f>
        <v>7200</v>
      </c>
      <c r="H51" s="10" t="n">
        <f aca="false">1105*8</f>
        <v>8840</v>
      </c>
      <c r="I51" s="11" t="n">
        <f aca="false">G51-H51</f>
        <v>-1640</v>
      </c>
      <c r="J51" s="9" t="n">
        <f aca="false">900*8</f>
        <v>7200</v>
      </c>
      <c r="K51" s="10" t="n">
        <f aca="false">1105*8</f>
        <v>8840</v>
      </c>
      <c r="L51" s="11" t="n">
        <f aca="false">J51-K51</f>
        <v>-1640</v>
      </c>
      <c r="M51" s="9" t="n">
        <f aca="false">D51+G51+J51</f>
        <v>21600</v>
      </c>
      <c r="N51" s="10" t="n">
        <f aca="false">E51+H51+K51</f>
        <v>26520</v>
      </c>
      <c r="O51" s="11" t="n">
        <f aca="false">M51-N51</f>
        <v>-4920</v>
      </c>
    </row>
    <row r="52" customFormat="false" ht="12.75" hidden="false" customHeight="false" outlineLevel="0" collapsed="false">
      <c r="A52" s="0" t="s">
        <v>26</v>
      </c>
      <c r="B52" s="0" t="s">
        <v>14</v>
      </c>
      <c r="C52" s="0" t="s">
        <v>12</v>
      </c>
      <c r="D52" s="9" t="n">
        <f aca="false">26153.5*16</f>
        <v>418456</v>
      </c>
      <c r="E52" s="10" t="n">
        <f aca="false">(13455+10350)*16</f>
        <v>380880</v>
      </c>
      <c r="F52" s="11" t="n">
        <f aca="false">D52-E52</f>
        <v>37576</v>
      </c>
      <c r="G52" s="9" t="n">
        <f aca="false">26153.5*16</f>
        <v>418456</v>
      </c>
      <c r="H52" s="10" t="n">
        <f aca="false">(13455+10350)*16</f>
        <v>380880</v>
      </c>
      <c r="I52" s="11" t="n">
        <f aca="false">G52-H52</f>
        <v>37576</v>
      </c>
      <c r="J52" s="9" t="n">
        <f aca="false">26153.5*16</f>
        <v>418456</v>
      </c>
      <c r="K52" s="10" t="n">
        <f aca="false">(13455+10350)*16</f>
        <v>380880</v>
      </c>
      <c r="L52" s="11" t="n">
        <f aca="false">J52-K52</f>
        <v>37576</v>
      </c>
      <c r="M52" s="9" t="n">
        <f aca="false">D52+G52+J52</f>
        <v>1255368</v>
      </c>
      <c r="N52" s="10" t="n">
        <f aca="false">E52+H52+K52</f>
        <v>1142640</v>
      </c>
      <c r="O52" s="11" t="n">
        <f aca="false">M52-N52</f>
        <v>112728</v>
      </c>
    </row>
    <row r="53" customFormat="false" ht="12.75" hidden="false" customHeight="false" outlineLevel="0" collapsed="false">
      <c r="A53" s="0" t="s">
        <v>26</v>
      </c>
      <c r="B53" s="0" t="s">
        <v>13</v>
      </c>
      <c r="C53" s="0" t="s">
        <v>12</v>
      </c>
      <c r="D53" s="9" t="n">
        <f aca="false">11672.5*16</f>
        <v>186760</v>
      </c>
      <c r="E53" s="10" t="n">
        <f aca="false">(7845+2100)*16</f>
        <v>159120</v>
      </c>
      <c r="F53" s="11" t="n">
        <f aca="false">D53-E53</f>
        <v>27640</v>
      </c>
      <c r="G53" s="9" t="n">
        <f aca="false">11672.5*16</f>
        <v>186760</v>
      </c>
      <c r="H53" s="10" t="n">
        <f aca="false">(7845+2100)*16</f>
        <v>159120</v>
      </c>
      <c r="I53" s="11" t="n">
        <f aca="false">G53-H53</f>
        <v>27640</v>
      </c>
      <c r="J53" s="9" t="n">
        <f aca="false">11672.5*16</f>
        <v>186760</v>
      </c>
      <c r="K53" s="10" t="n">
        <f aca="false">(7845+2100)*16</f>
        <v>159120</v>
      </c>
      <c r="L53" s="11" t="n">
        <f aca="false">J53-K53</f>
        <v>27640</v>
      </c>
      <c r="M53" s="9" t="n">
        <f aca="false">D53+G53+J53</f>
        <v>560280</v>
      </c>
      <c r="N53" s="10" t="n">
        <f aca="false">E53+H53+K53</f>
        <v>477360</v>
      </c>
      <c r="O53" s="11" t="n">
        <f aca="false">M53-N53</f>
        <v>82920</v>
      </c>
    </row>
    <row r="54" customFormat="false" ht="12.75" hidden="false" customHeight="false" outlineLevel="0" collapsed="false">
      <c r="A54" s="0" t="s">
        <v>26</v>
      </c>
      <c r="B54" s="0" t="s">
        <v>13</v>
      </c>
      <c r="C54" s="0" t="s">
        <v>6</v>
      </c>
      <c r="D54" s="9" t="n">
        <f aca="false">850*8</f>
        <v>6800</v>
      </c>
      <c r="E54" s="10" t="n">
        <f aca="false">900*8</f>
        <v>7200</v>
      </c>
      <c r="F54" s="11" t="n">
        <f aca="false">D54-E54</f>
        <v>-400</v>
      </c>
      <c r="G54" s="9" t="n">
        <f aca="false">850*8</f>
        <v>6800</v>
      </c>
      <c r="H54" s="10" t="n">
        <f aca="false">900*8</f>
        <v>7200</v>
      </c>
      <c r="I54" s="11" t="n">
        <f aca="false">G54-H54</f>
        <v>-400</v>
      </c>
      <c r="J54" s="9" t="n">
        <f aca="false">850*8</f>
        <v>6800</v>
      </c>
      <c r="K54" s="10" t="n">
        <f aca="false">900*8</f>
        <v>7200</v>
      </c>
      <c r="L54" s="11" t="n">
        <f aca="false">J54-K54</f>
        <v>-400</v>
      </c>
      <c r="M54" s="9" t="n">
        <f aca="false">D54+G54+J54</f>
        <v>20400</v>
      </c>
      <c r="N54" s="10" t="n">
        <f aca="false">E54+H54+K54</f>
        <v>21600</v>
      </c>
      <c r="O54" s="11" t="n">
        <f aca="false">M54-N54</f>
        <v>-1200</v>
      </c>
    </row>
    <row r="55" customFormat="false" ht="6" hidden="false" customHeight="true" outlineLevel="0" collapsed="false">
      <c r="D55" s="9"/>
      <c r="E55" s="10"/>
      <c r="F55" s="11"/>
      <c r="G55" s="9"/>
      <c r="H55" s="10"/>
      <c r="I55" s="11"/>
      <c r="J55" s="9"/>
      <c r="K55" s="10"/>
      <c r="L55" s="11"/>
      <c r="M55" s="9"/>
      <c r="N55" s="10"/>
      <c r="O55" s="11"/>
    </row>
    <row r="56" customFormat="false" ht="12.75" hidden="false" customHeight="false" outlineLevel="0" collapsed="false">
      <c r="A56" s="12" t="s">
        <v>26</v>
      </c>
      <c r="B56" s="3" t="s">
        <v>3</v>
      </c>
      <c r="D56" s="13" t="n">
        <f aca="false">SUM(D49:D54)</f>
        <v>683536</v>
      </c>
      <c r="E56" s="14" t="n">
        <f aca="false">SUM(E49:E54)</f>
        <v>631520</v>
      </c>
      <c r="F56" s="15" t="n">
        <f aca="false">SUM(F49:F54)</f>
        <v>52016</v>
      </c>
      <c r="G56" s="13" t="n">
        <f aca="false">SUM(G49:G54)</f>
        <v>683536</v>
      </c>
      <c r="H56" s="14" t="n">
        <f aca="false">SUM(H49:H54)</f>
        <v>631520</v>
      </c>
      <c r="I56" s="15" t="n">
        <f aca="false">SUM(I49:I54)</f>
        <v>52016</v>
      </c>
      <c r="J56" s="13" t="n">
        <f aca="false">SUM(J49:J54)</f>
        <v>683536</v>
      </c>
      <c r="K56" s="14" t="n">
        <f aca="false">SUM(K49:K54)</f>
        <v>631520</v>
      </c>
      <c r="L56" s="15" t="n">
        <f aca="false">SUM(L49:L54)</f>
        <v>52016</v>
      </c>
      <c r="M56" s="13" t="n">
        <f aca="false">SUM(M49:M54)</f>
        <v>2050608</v>
      </c>
      <c r="N56" s="14" t="n">
        <f aca="false">SUM(N49:N54)</f>
        <v>1894560</v>
      </c>
      <c r="O56" s="15" t="n">
        <f aca="false">SUM(O49:O54)</f>
        <v>156048</v>
      </c>
    </row>
    <row r="57" customFormat="false" ht="12.75" hidden="false" customHeight="false" outlineLevel="0" collapsed="false">
      <c r="D57" s="9"/>
      <c r="E57" s="10"/>
      <c r="F57" s="11"/>
      <c r="G57" s="9"/>
      <c r="H57" s="10"/>
      <c r="I57" s="11"/>
      <c r="J57" s="9"/>
      <c r="K57" s="10"/>
      <c r="L57" s="11"/>
      <c r="M57" s="9"/>
      <c r="N57" s="10"/>
      <c r="O57" s="11"/>
    </row>
    <row r="58" customFormat="false" ht="12.75" hidden="false" customHeight="false" outlineLevel="0" collapsed="false">
      <c r="A58" s="0" t="s">
        <v>27</v>
      </c>
      <c r="B58" s="0" t="s">
        <v>25</v>
      </c>
      <c r="C58" s="0" t="s">
        <v>12</v>
      </c>
      <c r="D58" s="9" t="n">
        <f aca="false">(1307.5+2100)*16</f>
        <v>54520</v>
      </c>
      <c r="E58" s="10" t="n">
        <f aca="false">4002*16</f>
        <v>64032</v>
      </c>
      <c r="F58" s="11" t="n">
        <f aca="false">D58-E58</f>
        <v>-9512</v>
      </c>
      <c r="G58" s="9" t="n">
        <f aca="false">(1307.5+2100)*16</f>
        <v>54520</v>
      </c>
      <c r="H58" s="10" t="n">
        <f aca="false">4002*16</f>
        <v>64032</v>
      </c>
      <c r="I58" s="11" t="n">
        <f aca="false">G58-H58</f>
        <v>-9512</v>
      </c>
      <c r="J58" s="9" t="n">
        <f aca="false">(1307.5+2100)*16</f>
        <v>54520</v>
      </c>
      <c r="K58" s="10" t="n">
        <f aca="false">4002*16</f>
        <v>64032</v>
      </c>
      <c r="L58" s="11" t="n">
        <f aca="false">J58-K58</f>
        <v>-9512</v>
      </c>
      <c r="M58" s="9" t="n">
        <f aca="false">D58+G58+J58</f>
        <v>163560</v>
      </c>
      <c r="N58" s="10" t="n">
        <f aca="false">E58+H58+K58</f>
        <v>192096</v>
      </c>
      <c r="O58" s="11" t="n">
        <f aca="false">M58-N58</f>
        <v>-28536</v>
      </c>
    </row>
    <row r="59" customFormat="false" ht="12.75" hidden="false" customHeight="false" outlineLevel="0" collapsed="false">
      <c r="A59" s="0" t="s">
        <v>27</v>
      </c>
      <c r="B59" s="0" t="s">
        <v>13</v>
      </c>
      <c r="C59" s="0" t="s">
        <v>12</v>
      </c>
      <c r="D59" s="9" t="n">
        <f aca="false">3964.5*16</f>
        <v>63432</v>
      </c>
      <c r="E59" s="10" t="n">
        <f aca="false">3150*16</f>
        <v>50400</v>
      </c>
      <c r="F59" s="11" t="n">
        <f aca="false">D59-E59</f>
        <v>13032</v>
      </c>
      <c r="G59" s="9" t="n">
        <f aca="false">3964.5*16</f>
        <v>63432</v>
      </c>
      <c r="H59" s="10" t="n">
        <f aca="false">3150*16</f>
        <v>50400</v>
      </c>
      <c r="I59" s="11" t="n">
        <f aca="false">G59-H59</f>
        <v>13032</v>
      </c>
      <c r="J59" s="9" t="n">
        <f aca="false">3964.5*16</f>
        <v>63432</v>
      </c>
      <c r="K59" s="10" t="n">
        <f aca="false">3150*16</f>
        <v>50400</v>
      </c>
      <c r="L59" s="11" t="n">
        <f aca="false">J59-K59</f>
        <v>13032</v>
      </c>
      <c r="M59" s="9" t="n">
        <f aca="false">D59+G59+J59</f>
        <v>190296</v>
      </c>
      <c r="N59" s="10" t="n">
        <f aca="false">E59+H59+K59</f>
        <v>151200</v>
      </c>
      <c r="O59" s="11" t="n">
        <f aca="false">M59-N59</f>
        <v>39096</v>
      </c>
    </row>
    <row r="60" customFormat="false" ht="12.75" hidden="false" customHeight="false" outlineLevel="0" collapsed="false">
      <c r="A60" s="0" t="s">
        <v>27</v>
      </c>
      <c r="B60" s="0" t="s">
        <v>14</v>
      </c>
      <c r="C60" s="0" t="s">
        <v>12</v>
      </c>
      <c r="D60" s="9" t="n">
        <f aca="false">7660*16</f>
        <v>122560</v>
      </c>
      <c r="E60" s="10" t="n">
        <f aca="false">(2691+3450)*16</f>
        <v>98256</v>
      </c>
      <c r="F60" s="11" t="n">
        <f aca="false">D60-E60</f>
        <v>24304</v>
      </c>
      <c r="G60" s="9" t="n">
        <f aca="false">7660*16</f>
        <v>122560</v>
      </c>
      <c r="H60" s="10" t="n">
        <f aca="false">(2691+3450)*16</f>
        <v>98256</v>
      </c>
      <c r="I60" s="11" t="n">
        <f aca="false">G60-H60</f>
        <v>24304</v>
      </c>
      <c r="J60" s="9" t="n">
        <f aca="false">7660*16</f>
        <v>122560</v>
      </c>
      <c r="K60" s="10" t="n">
        <f aca="false">(2691+3450)*16</f>
        <v>98256</v>
      </c>
      <c r="L60" s="11" t="n">
        <f aca="false">J60-K60</f>
        <v>24304</v>
      </c>
      <c r="M60" s="9" t="n">
        <f aca="false">D60+G60+J60</f>
        <v>367680</v>
      </c>
      <c r="N60" s="10" t="n">
        <f aca="false">E60+H60+K60</f>
        <v>294768</v>
      </c>
      <c r="O60" s="11" t="n">
        <f aca="false">M60-N60</f>
        <v>72912</v>
      </c>
    </row>
    <row r="61" customFormat="false" ht="5.25" hidden="false" customHeight="true" outlineLevel="0" collapsed="false">
      <c r="D61" s="9"/>
      <c r="E61" s="10"/>
      <c r="F61" s="11"/>
      <c r="G61" s="9"/>
      <c r="H61" s="10"/>
      <c r="I61" s="11"/>
      <c r="J61" s="9"/>
      <c r="K61" s="10"/>
      <c r="L61" s="11"/>
      <c r="M61" s="9"/>
      <c r="N61" s="10"/>
      <c r="O61" s="11"/>
    </row>
    <row r="62" customFormat="false" ht="12.75" hidden="false" customHeight="false" outlineLevel="0" collapsed="false">
      <c r="A62" s="12" t="s">
        <v>27</v>
      </c>
      <c r="B62" s="3" t="s">
        <v>3</v>
      </c>
      <c r="D62" s="13" t="n">
        <f aca="false">SUM(D58:D60)</f>
        <v>240512</v>
      </c>
      <c r="E62" s="14" t="n">
        <f aca="false">SUM(E58:E60)</f>
        <v>212688</v>
      </c>
      <c r="F62" s="15" t="n">
        <f aca="false">SUM(F58:F60)</f>
        <v>27824</v>
      </c>
      <c r="G62" s="13" t="n">
        <f aca="false">SUM(G58:G60)</f>
        <v>240512</v>
      </c>
      <c r="H62" s="14" t="n">
        <f aca="false">SUM(H58:H60)</f>
        <v>212688</v>
      </c>
      <c r="I62" s="15" t="n">
        <f aca="false">SUM(I58:I60)</f>
        <v>27824</v>
      </c>
      <c r="J62" s="13" t="n">
        <f aca="false">SUM(J58:J60)</f>
        <v>240512</v>
      </c>
      <c r="K62" s="14" t="n">
        <f aca="false">SUM(K58:K60)</f>
        <v>212688</v>
      </c>
      <c r="L62" s="15" t="n">
        <f aca="false">SUM(L58:L60)</f>
        <v>27824</v>
      </c>
      <c r="M62" s="13" t="n">
        <f aca="false">SUM(M58:M60)</f>
        <v>721536</v>
      </c>
      <c r="N62" s="14" t="n">
        <f aca="false">SUM(N58:N60)</f>
        <v>638064</v>
      </c>
      <c r="O62" s="15" t="n">
        <f aca="false">SUM(O58:O60)</f>
        <v>83472</v>
      </c>
    </row>
    <row r="63" customFormat="false" ht="12.75" hidden="false" customHeight="false" outlineLevel="0" collapsed="false">
      <c r="D63" s="9"/>
      <c r="E63" s="10"/>
      <c r="F63" s="11"/>
      <c r="G63" s="9"/>
      <c r="H63" s="10"/>
      <c r="I63" s="11"/>
      <c r="J63" s="9"/>
      <c r="K63" s="10"/>
      <c r="L63" s="11"/>
      <c r="M63" s="9"/>
      <c r="N63" s="10"/>
      <c r="O63" s="11"/>
    </row>
    <row r="64" customFormat="false" ht="12.75" hidden="false" customHeight="false" outlineLevel="0" collapsed="false">
      <c r="A64" s="0" t="s">
        <v>28</v>
      </c>
      <c r="B64" s="0" t="s">
        <v>14</v>
      </c>
      <c r="C64" s="0" t="s">
        <v>12</v>
      </c>
      <c r="D64" s="9" t="n">
        <f aca="false">4225*16</f>
        <v>67600</v>
      </c>
      <c r="E64" s="10" t="n">
        <f aca="false">(2087.5+1150)*16</f>
        <v>51800</v>
      </c>
      <c r="F64" s="11" t="n">
        <f aca="false">D64-E64</f>
        <v>15800</v>
      </c>
      <c r="G64" s="9" t="n">
        <f aca="false">4225*16</f>
        <v>67600</v>
      </c>
      <c r="H64" s="10" t="n">
        <f aca="false">(2087.5+1150)*16</f>
        <v>51800</v>
      </c>
      <c r="I64" s="11" t="n">
        <f aca="false">G64-H64</f>
        <v>15800</v>
      </c>
      <c r="J64" s="9" t="n">
        <f aca="false">4225*16</f>
        <v>67600</v>
      </c>
      <c r="K64" s="10" t="n">
        <f aca="false">(2087.5+1150)*16</f>
        <v>51800</v>
      </c>
      <c r="L64" s="11" t="n">
        <f aca="false">J64-K64</f>
        <v>15800</v>
      </c>
      <c r="M64" s="9" t="n">
        <f aca="false">D64+G64+J64</f>
        <v>202800</v>
      </c>
      <c r="N64" s="10" t="n">
        <f aca="false">E64+H64+K64</f>
        <v>155400</v>
      </c>
      <c r="O64" s="11" t="n">
        <f aca="false">M64-N64</f>
        <v>47400</v>
      </c>
    </row>
    <row r="65" customFormat="false" ht="12.75" hidden="false" customHeight="false" outlineLevel="0" collapsed="false">
      <c r="D65" s="9"/>
      <c r="E65" s="10"/>
      <c r="F65" s="11"/>
      <c r="G65" s="9"/>
      <c r="H65" s="10"/>
      <c r="I65" s="11"/>
      <c r="J65" s="9"/>
      <c r="K65" s="10"/>
      <c r="L65" s="11"/>
      <c r="M65" s="9"/>
      <c r="N65" s="10"/>
      <c r="O65" s="11"/>
    </row>
    <row r="66" customFormat="false" ht="12.75" hidden="false" customHeight="false" outlineLevel="0" collapsed="false">
      <c r="A66" s="0" t="s">
        <v>29</v>
      </c>
      <c r="B66" s="0" t="s">
        <v>14</v>
      </c>
      <c r="C66" s="0" t="s">
        <v>12</v>
      </c>
      <c r="D66" s="9" t="n">
        <f aca="false">(2125+5750)*16</f>
        <v>126000</v>
      </c>
      <c r="E66" s="10" t="n">
        <f aca="false">8178*16</f>
        <v>130848</v>
      </c>
      <c r="F66" s="11" t="n">
        <f aca="false">D66-E66</f>
        <v>-4848</v>
      </c>
      <c r="G66" s="9" t="n">
        <f aca="false">(2125+5750)*16</f>
        <v>126000</v>
      </c>
      <c r="H66" s="10" t="n">
        <f aca="false">8178*16</f>
        <v>130848</v>
      </c>
      <c r="I66" s="11" t="n">
        <f aca="false">G66-H66</f>
        <v>-4848</v>
      </c>
      <c r="J66" s="9" t="n">
        <f aca="false">(2125+5750)*16</f>
        <v>126000</v>
      </c>
      <c r="K66" s="10" t="n">
        <f aca="false">8178*16</f>
        <v>130848</v>
      </c>
      <c r="L66" s="11" t="n">
        <f aca="false">J66-K66</f>
        <v>-4848</v>
      </c>
      <c r="M66" s="9" t="n">
        <f aca="false">D66+G66+J66</f>
        <v>378000</v>
      </c>
      <c r="N66" s="10" t="n">
        <f aca="false">E66+H66+K66</f>
        <v>392544</v>
      </c>
      <c r="O66" s="11" t="n">
        <f aca="false">M66-N66</f>
        <v>-14544</v>
      </c>
    </row>
    <row r="67" customFormat="false" ht="12.75" hidden="false" customHeight="false" outlineLevel="0" collapsed="false">
      <c r="D67" s="9"/>
      <c r="E67" s="10"/>
      <c r="F67" s="11"/>
      <c r="G67" s="9"/>
      <c r="H67" s="10"/>
      <c r="I67" s="11"/>
      <c r="J67" s="9"/>
      <c r="K67" s="10"/>
      <c r="L67" s="11"/>
      <c r="M67" s="9"/>
      <c r="N67" s="10"/>
      <c r="O67" s="11"/>
    </row>
    <row r="68" customFormat="false" ht="12.75" hidden="false" customHeight="false" outlineLevel="0" collapsed="false">
      <c r="A68" s="0" t="s">
        <v>30</v>
      </c>
      <c r="B68" s="0" t="s">
        <v>14</v>
      </c>
      <c r="C68" s="0" t="s">
        <v>6</v>
      </c>
      <c r="D68" s="9" t="n">
        <f aca="false">900*8</f>
        <v>7200</v>
      </c>
      <c r="E68" s="10" t="n">
        <f aca="false">762.5*8</f>
        <v>6100</v>
      </c>
      <c r="F68" s="11" t="n">
        <f aca="false">D68-E68</f>
        <v>1100</v>
      </c>
      <c r="G68" s="9" t="n">
        <f aca="false">900*8</f>
        <v>7200</v>
      </c>
      <c r="H68" s="10" t="n">
        <f aca="false">762.5*8</f>
        <v>6100</v>
      </c>
      <c r="I68" s="11" t="n">
        <f aca="false">G68-H68</f>
        <v>1100</v>
      </c>
      <c r="J68" s="9" t="n">
        <f aca="false">900*8</f>
        <v>7200</v>
      </c>
      <c r="K68" s="10" t="n">
        <f aca="false">762.5*8</f>
        <v>6100</v>
      </c>
      <c r="L68" s="11" t="n">
        <f aca="false">J68-K68</f>
        <v>1100</v>
      </c>
      <c r="M68" s="9" t="n">
        <f aca="false">D68+G68+J68</f>
        <v>21600</v>
      </c>
      <c r="N68" s="10" t="n">
        <f aca="false">E68+H68+K68</f>
        <v>18300</v>
      </c>
      <c r="O68" s="11" t="n">
        <f aca="false">M68-N68</f>
        <v>3300</v>
      </c>
    </row>
    <row r="69" customFormat="false" ht="12.75" hidden="false" customHeight="false" outlineLevel="0" collapsed="false">
      <c r="D69" s="9"/>
      <c r="E69" s="10"/>
      <c r="F69" s="11"/>
      <c r="G69" s="9"/>
      <c r="H69" s="10"/>
      <c r="I69" s="11"/>
      <c r="J69" s="9"/>
      <c r="K69" s="10"/>
      <c r="L69" s="11"/>
      <c r="M69" s="9"/>
      <c r="N69" s="10"/>
      <c r="O69" s="11"/>
    </row>
    <row r="70" customFormat="false" ht="13.5" hidden="false" customHeight="false" outlineLevel="0" collapsed="false">
      <c r="A70" s="3" t="s">
        <v>3</v>
      </c>
      <c r="D70" s="16" t="n">
        <f aca="false">D12+D19+D24+D30+D36+D38+D40+D47+D56+D62+D64+D66+D68</f>
        <v>6829941.2</v>
      </c>
      <c r="E70" s="17" t="n">
        <f aca="false">E12+E19+E24+E30+E36+E38+E40+E47+E56+E62+E64+E66+E68</f>
        <v>6003292</v>
      </c>
      <c r="F70" s="18" t="n">
        <f aca="false">F12+F19+F24+F30+F36+F38+F40+F47+F56+F62+F64+F66+F68</f>
        <v>826649.2</v>
      </c>
      <c r="G70" s="19" t="n">
        <f aca="false">G12+G19+G24+G30+G36+G38+G40+G47+G56+G62+G64+G66+G68</f>
        <v>6829941.2</v>
      </c>
      <c r="H70" s="17" t="n">
        <f aca="false">H12+H19+H24+H30+H36+H38+H40+H47+H56+H62+H64+H66+H68</f>
        <v>6003292</v>
      </c>
      <c r="I70" s="18" t="n">
        <f aca="false">I12+I19+I24+I30+I36+I38+I40+I47+I56+I62+I64+I66+I68</f>
        <v>826649.2</v>
      </c>
      <c r="J70" s="19" t="n">
        <f aca="false">J12+J19+J24+J30+J36+J38+J40+J47+J56+J62+J64+J66+J68</f>
        <v>6829941.2</v>
      </c>
      <c r="K70" s="17" t="n">
        <f aca="false">K12+K19+K24+K30+K36+K38+K40+K47+K56+K62+K64+K66+K68</f>
        <v>6003292</v>
      </c>
      <c r="L70" s="18" t="n">
        <f aca="false">L12+L19+L24+L30+L36+L38+L40+L47+L56+L62+L64+L66+L68</f>
        <v>826649.2</v>
      </c>
      <c r="M70" s="19" t="n">
        <f aca="false">M12+M19+M24+M30+M36+M38+M40+M47+M56+M62+M64+M66+M68</f>
        <v>20489823.6</v>
      </c>
      <c r="N70" s="17" t="n">
        <f aca="false">N12+N19+N24+N30+N36+N38+N40+N47+N56+N62+N64+N66+N68</f>
        <v>18009876</v>
      </c>
      <c r="O70" s="18" t="n">
        <f aca="false">O12+O19+O24+O30+O36+O38+O40+O47+O56+O62+O64+O66+O68</f>
        <v>2479947.6</v>
      </c>
    </row>
    <row r="71" customFormat="false" ht="12.75" hidden="false" customHeight="false" outlineLevel="0" collapsed="false">
      <c r="D71" s="20"/>
      <c r="F71" s="21"/>
      <c r="I71" s="21"/>
      <c r="L71" s="21"/>
      <c r="O71" s="21"/>
    </row>
    <row r="72" customFormat="false" ht="12.75" hidden="false" customHeight="false" outlineLevel="0" collapsed="false">
      <c r="D72" s="22"/>
      <c r="F72" s="23"/>
      <c r="I72" s="23"/>
      <c r="L72" s="23"/>
      <c r="O72" s="23"/>
    </row>
    <row r="73" customFormat="false" ht="12.75" hidden="false" customHeight="false" outlineLevel="0" collapsed="false">
      <c r="A73" s="3" t="s">
        <v>31</v>
      </c>
      <c r="D73" s="24" t="n">
        <f aca="false">SUM(D6,D7,D14,D21,D22,D26)</f>
        <v>1701260</v>
      </c>
      <c r="E73" s="25" t="n">
        <f aca="false">SUM(E6,E7,E14,E21,E22,E26)</f>
        <v>1501824</v>
      </c>
      <c r="F73" s="26" t="n">
        <f aca="false">SUM(F6,F7,F14,F21,F22,F26)</f>
        <v>199436</v>
      </c>
      <c r="G73" s="25" t="n">
        <f aca="false">SUM(G6,G7,G14,G21,G22,G26)</f>
        <v>1701260</v>
      </c>
      <c r="H73" s="25" t="n">
        <f aca="false">SUM(H6,H7,H14,H21,H22,H26)</f>
        <v>1501824</v>
      </c>
      <c r="I73" s="26" t="n">
        <f aca="false">SUM(I6,I7,I14,I21,I22,I26)</f>
        <v>199436</v>
      </c>
      <c r="J73" s="25" t="n">
        <f aca="false">SUM(J6,J7,J14,J21,J22,J26)</f>
        <v>1701260</v>
      </c>
      <c r="K73" s="25" t="n">
        <f aca="false">SUM(K6,K7,K14,K21,K22,K26)</f>
        <v>1501824</v>
      </c>
      <c r="L73" s="26" t="n">
        <f aca="false">SUM(L6,L7,L14,L21,L22,L26)</f>
        <v>199436</v>
      </c>
      <c r="M73" s="27" t="n">
        <f aca="false">SUM(M6,M7,M14,M21,M22,M26)</f>
        <v>5103780</v>
      </c>
      <c r="N73" s="27" t="n">
        <f aca="false">SUM(N6,N7,N14,N21,N22,N26)</f>
        <v>4505472</v>
      </c>
      <c r="O73" s="28" t="n">
        <f aca="false">SUM(O6,O7,O14,O21,O22,O26)</f>
        <v>598308</v>
      </c>
    </row>
    <row r="74" customFormat="false" ht="12.75" hidden="false" customHeight="false" outlineLevel="0" collapsed="false">
      <c r="A74" s="3" t="s">
        <v>32</v>
      </c>
      <c r="D74" s="24" t="n">
        <f aca="false">SUM(D10,D16,D17,D27,D28,D38,D40)</f>
        <v>2285957.2</v>
      </c>
      <c r="E74" s="25" t="n">
        <f aca="false">SUM(E10,E16,E17,E27,E28,E38,E40)</f>
        <v>1829896</v>
      </c>
      <c r="F74" s="26" t="n">
        <f aca="false">SUM(F10,F16,F17,F27,F28,F38,F40)</f>
        <v>456061.2</v>
      </c>
      <c r="G74" s="25" t="n">
        <f aca="false">SUM(G10,G16,G17,G27,G28,G38,G40)</f>
        <v>2285957.2</v>
      </c>
      <c r="H74" s="25" t="n">
        <f aca="false">SUM(H10,H16,H17,H27,H28,H38,H40)</f>
        <v>1829896</v>
      </c>
      <c r="I74" s="26" t="n">
        <f aca="false">SUM(I10,I16,I17,I27,I28,I38,I40)</f>
        <v>456061.2</v>
      </c>
      <c r="J74" s="25" t="n">
        <f aca="false">SUM(J10,J16,J17,J27,J28,J38,J40)</f>
        <v>2285957.2</v>
      </c>
      <c r="K74" s="25" t="n">
        <f aca="false">SUM(K10,K16,K17,K27,K28,K38,K40)</f>
        <v>1829896</v>
      </c>
      <c r="L74" s="26" t="n">
        <f aca="false">SUM(L10,L16,L17,L27,L28,L38,L40)</f>
        <v>456061.2</v>
      </c>
      <c r="M74" s="27" t="n">
        <f aca="false">SUM(M10,M16,M17,M27,M28,M38,M40)</f>
        <v>6857871.6</v>
      </c>
      <c r="N74" s="27" t="n">
        <f aca="false">SUM(N10,N16,N17,N27,N28,N38,N40)</f>
        <v>5489688</v>
      </c>
      <c r="O74" s="28" t="n">
        <f aca="false">SUM(O10,O16,O17,O27,O28,O38,O40)</f>
        <v>1368183.6</v>
      </c>
    </row>
    <row r="75" customFormat="false" ht="12.75" hidden="false" customHeight="false" outlineLevel="0" collapsed="false">
      <c r="A75" s="3" t="s">
        <v>33</v>
      </c>
      <c r="D75" s="29" t="n">
        <f aca="false">SUM(D8,D9,D15,D32,D33,D34,D42,D43,D44,D45,D49,D51,D52,D53,D54,D58,D59,D60,D64,D66,D68)</f>
        <v>2842724</v>
      </c>
      <c r="E75" s="30" t="n">
        <f aca="false">SUM(E8,E9,E15,E32,E33,E34,E42,E43,E44,E45,E49,E51,E52,E53,E54,E58,E59,E60,E64,E66,E68)</f>
        <v>2671572</v>
      </c>
      <c r="F75" s="31" t="n">
        <f aca="false">SUM(F8,F9,F15,F32,F33,F34,F42,F43,F44,F45,F49,F51,F52,F53,F54,F58,F59,F60,F64,F66,F68)</f>
        <v>171152</v>
      </c>
      <c r="G75" s="30" t="n">
        <f aca="false">SUM(G8,G9,G15,G32,G33,G34,G42,G43,G44,G45,G49,G51,G52,G53,G54,G58,G59,G60,G64,G66,G68)</f>
        <v>2842724</v>
      </c>
      <c r="H75" s="30" t="n">
        <f aca="false">SUM(H8,H9,H15,H32,H33,H34,H42,H43,H44,H45,H49,H51,H52,H53,H54,H58,H59,H60,H64,H66,H68)</f>
        <v>2671572</v>
      </c>
      <c r="I75" s="31" t="n">
        <f aca="false">SUM(I8,I9,I15,I32,I33,I34,I42,I43,I44,I45,I49,I51,I52,I53,I54,I58,I59,I60,I64,I66,I68)</f>
        <v>171152</v>
      </c>
      <c r="J75" s="30" t="n">
        <f aca="false">SUM(J8,J9,J15,J32,J33,J34,J42,J43,J44,J45,J49,J51,J52,J53,J54,J58,J59,J60,J64,J66,J68)</f>
        <v>2842724</v>
      </c>
      <c r="K75" s="30" t="n">
        <f aca="false">SUM(K8,K9,K15,K32,K33,K34,K42,K43,K44,K45,K49,K51,K52,K53,K54,K58,K59,K60,K64,K66,K68)</f>
        <v>2671572</v>
      </c>
      <c r="L75" s="31" t="n">
        <f aca="false">SUM(L8,L9,L15,L32,L33,L34,L42,L43,L44,L45,L49,L51,L52,L53,L54,L58,L59,L60,L64,L66,L68)</f>
        <v>171152</v>
      </c>
      <c r="M75" s="30" t="n">
        <f aca="false">SUM(M8,M9,M15,M32,M33,M34,M42,M43,M44,M45,M49,M51,M52,M53,M54,M58,M59,M60,M64,M66,M68)</f>
        <v>8528172</v>
      </c>
      <c r="N75" s="30" t="n">
        <f aca="false">SUM(N8,N9,N15,N32,N33,N34,N42,N43,N44,N45,N49,N51,N52,N53,N54,N58,N59,N60,N64,N66,N68)</f>
        <v>8014716</v>
      </c>
      <c r="O75" s="31" t="n">
        <f aca="false">SUM(O8,O9,O15,O32,O33,O34,O42,O43,O44,O45,O49,O51,O52,O53,O54,O58,O59,O60,O64,O66,O68)</f>
        <v>513456</v>
      </c>
    </row>
    <row r="76" customFormat="false" ht="13.5" hidden="false" customHeight="false" outlineLevel="0" collapsed="false">
      <c r="D76" s="32" t="n">
        <f aca="false">SUM(D73:D75)</f>
        <v>6829941.2</v>
      </c>
      <c r="E76" s="33" t="n">
        <f aca="false">SUM(E73:E75)</f>
        <v>6003292</v>
      </c>
      <c r="F76" s="34" t="n">
        <f aca="false">SUM(F73:F75)</f>
        <v>826649.2</v>
      </c>
      <c r="G76" s="33" t="n">
        <f aca="false">SUM(G73:G75)</f>
        <v>6829941.2</v>
      </c>
      <c r="H76" s="33" t="n">
        <f aca="false">SUM(H73:H75)</f>
        <v>6003292</v>
      </c>
      <c r="I76" s="34" t="n">
        <f aca="false">SUM(I73:I75)</f>
        <v>826649.2</v>
      </c>
      <c r="J76" s="33" t="n">
        <f aca="false">SUM(J73:J75)</f>
        <v>6829941.2</v>
      </c>
      <c r="K76" s="33" t="n">
        <f aca="false">SUM(K73:K75)</f>
        <v>6003292</v>
      </c>
      <c r="L76" s="34" t="n">
        <f aca="false">SUM(L73:L75)</f>
        <v>826649.2</v>
      </c>
      <c r="M76" s="33" t="n">
        <f aca="false">SUM(M73:M75)</f>
        <v>20489823.6</v>
      </c>
      <c r="N76" s="33" t="n">
        <f aca="false">SUM(N73:N75)</f>
        <v>18009876</v>
      </c>
      <c r="O76" s="34" t="n">
        <f aca="false">SUM(O73:O75)</f>
        <v>2479947.6</v>
      </c>
    </row>
    <row r="78" customFormat="false" ht="12.75" hidden="false" customHeight="false" outlineLevel="0" collapsed="false">
      <c r="A78" s="35" t="s">
        <v>34</v>
      </c>
      <c r="B78" s="3"/>
      <c r="C78" s="3"/>
      <c r="D78" s="36" t="n">
        <f aca="false">D75-D66-D45-D44-D43-D42</f>
        <v>2002348</v>
      </c>
      <c r="E78" s="37" t="n">
        <f aca="false">E75-E66-E45-E44-E43-E42</f>
        <v>1761660</v>
      </c>
      <c r="F78" s="38" t="n">
        <f aca="false">D78-E78</f>
        <v>240688</v>
      </c>
      <c r="G78" s="36" t="n">
        <f aca="false">G75-G66-G45-G44-G43-G42</f>
        <v>2002348</v>
      </c>
      <c r="H78" s="37" t="n">
        <f aca="false">H75-H66-H45-H44-H43-H42</f>
        <v>1761660</v>
      </c>
      <c r="I78" s="38" t="n">
        <f aca="false">G78-H78</f>
        <v>240688</v>
      </c>
      <c r="J78" s="36" t="n">
        <f aca="false">J75-J66-J45-J44-J43-J42</f>
        <v>2002348</v>
      </c>
      <c r="K78" s="37" t="n">
        <f aca="false">K75-K66-K45-K44-K43-K42</f>
        <v>1761660</v>
      </c>
      <c r="L78" s="38" t="n">
        <f aca="false">J78-K78</f>
        <v>240688</v>
      </c>
      <c r="M78" s="39" t="n">
        <f aca="false">M75-M66-M45-M44-M43-M42</f>
        <v>6007044</v>
      </c>
      <c r="N78" s="40" t="n">
        <f aca="false">N75-N66-N45-N44-N43-N42</f>
        <v>5284980</v>
      </c>
      <c r="O78" s="41" t="n">
        <f aca="false">M78-N78</f>
        <v>722064</v>
      </c>
    </row>
  </sheetData>
  <mergeCells count="4">
    <mergeCell ref="D4:F4"/>
    <mergeCell ref="G4:I4"/>
    <mergeCell ref="J4:L4"/>
    <mergeCell ref="M4:O4"/>
  </mergeCells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2001-12-22T12:10:23Z</dcterms:created>
  <dc:creator>Preferred Customer</dc:creator>
  <dc:description/>
  <dc:language>en-US</dc:language>
  <cp:lastModifiedBy>dmille2</cp:lastModifiedBy>
  <cp:lastPrinted>2001-12-23T19:31:22Z</cp:lastPrinted>
  <dcterms:modified xsi:type="dcterms:W3CDTF">2001-12-24T13:00:14Z</dcterms:modified>
  <cp:revision>0</cp:revision>
  <dc:subject/>
  <dc:title/>
</cp:coreProperties>
</file>