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ast Power Consolidated" sheetId="1" state="visible" r:id="rId3"/>
    <sheet name="Ercot Trading" sheetId="2" state="visible" r:id="rId4"/>
    <sheet name="Ercot Origination" sheetId="3" state="visible" r:id="rId5"/>
    <sheet name="Southeast Trading" sheetId="4" state="visible" r:id="rId6"/>
    <sheet name="Southeast Origination" sheetId="5" state="visible" r:id="rId7"/>
    <sheet name="Midwest Trading" sheetId="6" state="visible" r:id="rId8"/>
    <sheet name="Midwest Origination" sheetId="7" state="visible" r:id="rId9"/>
    <sheet name="Northeast Trading" sheetId="8" state="visible" r:id="rId10"/>
    <sheet name="Northeast Origination" sheetId="9" state="visible" r:id="rId11"/>
    <sheet name="Management Book" sheetId="10" state="visible" r:id="rId12"/>
    <sheet name="Structuring_Fund" sheetId="11" state="visible" r:id="rId13"/>
    <sheet name="Services" sheetId="12" state="visible" r:id="rId14"/>
    <sheet name="Options" sheetId="13" state="visible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function="false" hidden="false" localSheetId="0" name="_xlnm.Print_Area" vbProcedure="false">'East Power Consolidated'!$B$1:$E$28</definedName>
    <definedName function="false" hidden="false" localSheetId="2" name="_xlnm.Print_Area" vbProcedure="false">'Ercot Origination'!$B$1:$G$40</definedName>
    <definedName function="false" hidden="false" localSheetId="1" name="_xlnm.Print_Area" vbProcedure="false">'Ercot Trading'!$B$1:$G$41</definedName>
    <definedName function="false" hidden="false" localSheetId="9" name="_xlnm.Print_Area" vbProcedure="false">'Management Book'!$B$1:$G$43</definedName>
    <definedName function="false" hidden="false" localSheetId="6" name="_xlnm.Print_Area" vbProcedure="false">'Midwest Origination'!$B$1:$G$40</definedName>
    <definedName function="false" hidden="false" localSheetId="5" name="_xlnm.Print_Area" vbProcedure="false">'Midwest Trading'!$B$1:$G$39</definedName>
    <definedName function="false" hidden="false" localSheetId="8" name="_xlnm.Print_Area" vbProcedure="false">'Northeast Origination'!$B$1:$G$40</definedName>
    <definedName function="false" hidden="false" localSheetId="7" name="_xlnm.Print_Area" vbProcedure="false">'Northeast Trading'!$B$1:$G$42</definedName>
    <definedName function="false" hidden="false" localSheetId="12" name="_xlnm.Print_Area" vbProcedure="false">Options!$B$1:$G$39</definedName>
    <definedName function="false" hidden="false" localSheetId="11" name="_xlnm.Print_Area" vbProcedure="false">Services!$B$1:$G$39</definedName>
    <definedName function="false" hidden="false" localSheetId="4" name="_xlnm.Print_Area" vbProcedure="false">'Southeast Origination'!$B$1:$G$40</definedName>
    <definedName function="false" hidden="false" localSheetId="3" name="_xlnm.Print_Area" vbProcedure="false">'Southeast Trading'!$B$1:$G$40</definedName>
    <definedName function="false" hidden="false" localSheetId="10" name="_xlnm.Print_Area" vbProcedure="false">Structuring_Fund!$B$1:$G$41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<sst xmlns="http://schemas.openxmlformats.org/spreadsheetml/2006/main" count="691" uniqueCount="69">
  <si>
    <t xml:space="preserve">East Power</t>
  </si>
  <si>
    <t xml:space="preserve">%</t>
  </si>
  <si>
    <t xml:space="preserve">YTD Actual</t>
  </si>
  <si>
    <t xml:space="preserve">Annualized</t>
  </si>
  <si>
    <t xml:space="preserve">of Total</t>
  </si>
  <si>
    <t xml:space="preserve">ENACOMP</t>
  </si>
  <si>
    <t xml:space="preserve">Compensation</t>
  </si>
  <si>
    <t xml:space="preserve">Special Pays</t>
  </si>
  <si>
    <t xml:space="preserve">Analysts &amp; Associates</t>
  </si>
  <si>
    <t xml:space="preserve">ENABENTX</t>
  </si>
  <si>
    <t xml:space="preserve">Benefits &amp; Payroll Taxes</t>
  </si>
  <si>
    <t xml:space="preserve">ENAEMPEX</t>
  </si>
  <si>
    <t xml:space="preserve">Employee Expense</t>
  </si>
  <si>
    <t xml:space="preserve">ENAT&amp;EEX</t>
  </si>
  <si>
    <t xml:space="preserve">Travel &amp; Entertainment Expense</t>
  </si>
  <si>
    <t xml:space="preserve">ENAOUTSV</t>
  </si>
  <si>
    <t xml:space="preserve">Outside Services</t>
  </si>
  <si>
    <t xml:space="preserve">ENASUPP</t>
  </si>
  <si>
    <t xml:space="preserve">Supplies Expense</t>
  </si>
  <si>
    <t xml:space="preserve">ENAMKTEX</t>
  </si>
  <si>
    <t xml:space="preserve">Marketing</t>
  </si>
  <si>
    <t xml:space="preserve">ENACONTR</t>
  </si>
  <si>
    <t xml:space="preserve">Charitable Contributions</t>
  </si>
  <si>
    <t xml:space="preserve">ENARENT</t>
  </si>
  <si>
    <t xml:space="preserve">Rent</t>
  </si>
  <si>
    <t xml:space="preserve">ENATECH</t>
  </si>
  <si>
    <t xml:space="preserve">Technology</t>
  </si>
  <si>
    <t xml:space="preserve">ENATRANS</t>
  </si>
  <si>
    <t xml:space="preserve">Transportation</t>
  </si>
  <si>
    <t xml:space="preserve">ENAOTHEX</t>
  </si>
  <si>
    <t xml:space="preserve">Other Expenses</t>
  </si>
  <si>
    <t xml:space="preserve">ENATAXES</t>
  </si>
  <si>
    <t xml:space="preserve">Taxes Other than Income</t>
  </si>
  <si>
    <t xml:space="preserve">ENATOTDR</t>
  </si>
  <si>
    <t xml:space="preserve">Total Direct Expenses</t>
  </si>
  <si>
    <t xml:space="preserve">Headcount</t>
  </si>
  <si>
    <t xml:space="preserve">Analyst &amp; Associate Headcount</t>
  </si>
  <si>
    <t xml:space="preserve">Total Headcount</t>
  </si>
  <si>
    <t xml:space="preserve">ENAOUTLG</t>
  </si>
  <si>
    <t xml:space="preserve">Outside Legal</t>
  </si>
  <si>
    <t xml:space="preserve">ENAOUTTX</t>
  </si>
  <si>
    <t xml:space="preserve">Outside Tax</t>
  </si>
  <si>
    <t xml:space="preserve">ENAINSUR</t>
  </si>
  <si>
    <t xml:space="preserve">Insurance</t>
  </si>
  <si>
    <t xml:space="preserve">ENASYSDV</t>
  </si>
  <si>
    <t xml:space="preserve">System Development</t>
  </si>
  <si>
    <t xml:space="preserve">ENACORIT</t>
  </si>
  <si>
    <t xml:space="preserve">Controllable Infrastructure</t>
  </si>
  <si>
    <t xml:space="preserve">ENACORRN</t>
  </si>
  <si>
    <t xml:space="preserve">Corporate Rent</t>
  </si>
  <si>
    <t xml:space="preserve">ENAOTHAL</t>
  </si>
  <si>
    <t xml:space="preserve">Other Allocated Direct  Expenses</t>
  </si>
  <si>
    <t xml:space="preserve">ENADEPR</t>
  </si>
  <si>
    <t xml:space="preserve">Depreciation &amp; Amortization</t>
  </si>
  <si>
    <t xml:space="preserve">Power System Software Consulting</t>
  </si>
  <si>
    <t xml:space="preserve">Relocation exp</t>
  </si>
  <si>
    <t xml:space="preserve">Masters Golf Tournament</t>
  </si>
  <si>
    <t xml:space="preserve">Relocation Exp</t>
  </si>
  <si>
    <t xml:space="preserve">Edgecomb W/O</t>
  </si>
  <si>
    <t xml:space="preserve">Relocation</t>
  </si>
  <si>
    <t xml:space="preserve">Boondoggles</t>
  </si>
  <si>
    <t xml:space="preserve">Boondoggle</t>
  </si>
  <si>
    <t xml:space="preserve">Employee Placement Fee</t>
  </si>
  <si>
    <t xml:space="preserve">TAC Group</t>
  </si>
  <si>
    <t xml:space="preserve">Astros Tickets/Team Outing</t>
  </si>
  <si>
    <t xml:space="preserve">Bond Payments</t>
  </si>
  <si>
    <t xml:space="preserve">Internal Consulting Support - CABC</t>
  </si>
  <si>
    <t xml:space="preserve">Computer Servers</t>
  </si>
  <si>
    <t xml:space="preserve">Project Costs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</si>
</sst>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mm\-yy"/>
    <numFmt numFmtId="166" formatCode="[$-409]mmm\-yy"/>
    <numFmt numFmtId="167" formatCode="@"/>
    <numFmt numFmtId="168" formatCode="_(* #,##0.00_);_(* \(#,##0.00\);_(* \-??_);_(@_)"/>
    <numFmt numFmtId="169" formatCode="_(* #,##0_);_(* \(#,##0\);_(* \-??_);_(@_)"/>
    <numFmt numFmtId="170" formatCode="0%"/>
    <numFmt numFmtId="171" formatCode="_(\$* #,##0.00_);_(\$* \(#,##0.00\);_(\$* \-??_);_(@_)"/>
    <numFmt numFmtId="172" formatCode="_(\$* #,##0_);_(\$* \(#,##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Narrow"/>
      <family val="2"/>
    </font>
    <font>
      <b val="true"/>
      <sz val="10"/>
      <name val="Arial Narrow"/>
      <family val="2"/>
    </font>
    <font>
      <b val="true"/>
      <u val="single"/>
      <sz val="10"/>
      <name val="Arial"/>
      <family val="2"/>
    </font>
    <font>
      <b val="true"/>
      <u val="single"/>
      <sz val="10"/>
      <name val="Arial Narrow"/>
      <family val="2"/>
    </font>
    <font>
      <sz val="10"/>
      <color rgb="FFFFFFFF"/>
      <name val="Arial Narrow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7" builtinId="1"/>
    <cellStyle name="*unknown*" xfId="5" builtinId="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externalLink" Target="externalLinks/externalLink1.xml"/><Relationship Id="rId17" Type="http://schemas.openxmlformats.org/officeDocument/2006/relationships/externalLink" Target="externalLinks/externalLink2.xml"/><Relationship Id="rId18" Type="http://schemas.openxmlformats.org/officeDocument/2006/relationships/externalLink" Target="externalLinks/externalLink3.xml"/><Relationship Id="rId19" Type="http://schemas.openxmlformats.org/officeDocument/2006/relationships/externalLink" Target="externalLinks/externalLink4.xml"/><Relationship Id="rId20" Type="http://schemas.openxmlformats.org/officeDocument/2006/relationships/externalLink" Target="externalLinks/externalLink5.xml"/><Relationship Id="rId21" Type="http://schemas.openxmlformats.org/officeDocument/2006/relationships/externalLink" Target="externalLinks/externalLink6.xml"/><Relationship Id="rId22" Type="http://schemas.openxmlformats.org/officeDocument/2006/relationships/externalLink" Target="externalLinks/externalLink7.xml"/><Relationship Id="rId23" Type="http://schemas.openxmlformats.org/officeDocument/2006/relationships/externalLink" Target="externalLinks/externalLink8.xml"/><Relationship Id="rId24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3.xml"/><Relationship Id="rId2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PR%20Trading%20Report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Management%20Book%20Report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ructuring_Fundamentals%20Report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ervices%20Report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Options%20Repor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Ercot%20Trading%20Report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Ercot%20Orig%20Report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outheast%20Trading%20Report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outheast%20Orig%20Report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Midwest%20Trading%20Report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Midwest%20Orig%20Report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Northeast%20Trading%20Report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Northeast%20Orig%20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3">
          <cell r="B3">
            <v>37135</v>
          </cell>
        </row>
      </sheetData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Management Book</v>
          </cell>
        </row>
      </sheetData>
      <sheetData sheetId="1">
        <row r="1">
          <cell r="B1" t="str">
            <v>Enron North America</v>
          </cell>
        </row>
        <row r="3">
          <cell r="B3">
            <v>37135</v>
          </cell>
        </row>
        <row r="25">
          <cell r="BA25">
            <v>1203187.82</v>
          </cell>
        </row>
        <row r="26">
          <cell r="BA26">
            <v>261830.69</v>
          </cell>
        </row>
        <row r="27">
          <cell r="BA27">
            <v>338934.1</v>
          </cell>
        </row>
        <row r="28">
          <cell r="BA28">
            <v>342989.99</v>
          </cell>
        </row>
        <row r="29">
          <cell r="BA29">
            <v>100780.77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1555966.4</v>
          </cell>
        </row>
        <row r="33">
          <cell r="BA33">
            <v>63983.18</v>
          </cell>
        </row>
        <row r="34">
          <cell r="BA34">
            <v>0</v>
          </cell>
        </row>
        <row r="35">
          <cell r="BA35">
            <v>5000</v>
          </cell>
        </row>
        <row r="36">
          <cell r="BA36">
            <v>88591.84</v>
          </cell>
        </row>
        <row r="37">
          <cell r="BA37">
            <v>145239</v>
          </cell>
        </row>
        <row r="38">
          <cell r="BA38">
            <v>36.85</v>
          </cell>
        </row>
        <row r="39">
          <cell r="BA39">
            <v>1937996.74</v>
          </cell>
        </row>
        <row r="40">
          <cell r="BA40">
            <v>1107725.43</v>
          </cell>
        </row>
        <row r="41">
          <cell r="BA41">
            <v>379987.44</v>
          </cell>
        </row>
        <row r="42">
          <cell r="BA42">
            <v>808093.21</v>
          </cell>
        </row>
        <row r="43">
          <cell r="BA43">
            <v>0</v>
          </cell>
        </row>
        <row r="44">
          <cell r="BA44">
            <v>252.43</v>
          </cell>
        </row>
        <row r="45">
          <cell r="BA45">
            <v>26956</v>
          </cell>
        </row>
      </sheetData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Structuring/Fundamentals</v>
          </cell>
        </row>
      </sheetData>
      <sheetData sheetId="1">
        <row r="1">
          <cell r="B1" t="str">
            <v>Enron North America</v>
          </cell>
        </row>
        <row r="3">
          <cell r="B3">
            <v>37135</v>
          </cell>
        </row>
        <row r="25">
          <cell r="BA25">
            <v>1248140.56</v>
          </cell>
        </row>
        <row r="26">
          <cell r="BA26">
            <v>276633.59</v>
          </cell>
        </row>
        <row r="27">
          <cell r="BA27">
            <v>140603.93</v>
          </cell>
        </row>
        <row r="28">
          <cell r="BA28">
            <v>78714.61</v>
          </cell>
        </row>
        <row r="29">
          <cell r="BA29">
            <v>16676.94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1029598.62</v>
          </cell>
        </row>
        <row r="33">
          <cell r="BA33">
            <v>12308.9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0</v>
          </cell>
        </row>
        <row r="37">
          <cell r="BA37">
            <v>289152.54</v>
          </cell>
        </row>
        <row r="38">
          <cell r="BA38">
            <v>40.01</v>
          </cell>
        </row>
        <row r="39">
          <cell r="BA39">
            <v>0</v>
          </cell>
        </row>
        <row r="40">
          <cell r="BA40">
            <v>39888.63</v>
          </cell>
        </row>
        <row r="41">
          <cell r="BA41">
            <v>110468.87</v>
          </cell>
        </row>
        <row r="42">
          <cell r="BA42">
            <v>711371.17</v>
          </cell>
        </row>
        <row r="43">
          <cell r="BA43">
            <v>0</v>
          </cell>
        </row>
        <row r="44">
          <cell r="BA44">
            <v>172.09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Services</v>
          </cell>
        </row>
      </sheetData>
      <sheetData sheetId="1">
        <row r="1">
          <cell r="B1" t="str">
            <v>Enron North America</v>
          </cell>
        </row>
        <row r="3">
          <cell r="B3">
            <v>37135</v>
          </cell>
        </row>
        <row r="25">
          <cell r="BA25">
            <v>197185.15</v>
          </cell>
        </row>
        <row r="26">
          <cell r="BA26">
            <v>40348.02</v>
          </cell>
        </row>
        <row r="27">
          <cell r="BA27">
            <v>11786.19</v>
          </cell>
        </row>
        <row r="28">
          <cell r="BA28">
            <v>13423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117.39</v>
          </cell>
        </row>
        <row r="33">
          <cell r="BA33">
            <v>0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0</v>
          </cell>
        </row>
        <row r="37">
          <cell r="BA37">
            <v>1247.28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2458.82</v>
          </cell>
        </row>
        <row r="41">
          <cell r="BA41">
            <v>3601.8</v>
          </cell>
        </row>
        <row r="42">
          <cell r="BA42">
            <v>7836</v>
          </cell>
        </row>
        <row r="43">
          <cell r="BA43">
            <v>0</v>
          </cell>
        </row>
        <row r="44">
          <cell r="BA44">
            <v>0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Options</v>
          </cell>
        </row>
      </sheetData>
      <sheetData sheetId="1">
        <row r="1">
          <cell r="B1" t="str">
            <v>Enron North America</v>
          </cell>
        </row>
        <row r="3">
          <cell r="B3">
            <v>37135</v>
          </cell>
        </row>
        <row r="25">
          <cell r="BA25">
            <v>335626.89</v>
          </cell>
        </row>
        <row r="26">
          <cell r="BA26">
            <v>47594.11</v>
          </cell>
        </row>
        <row r="27">
          <cell r="BA27">
            <v>6351.68</v>
          </cell>
        </row>
        <row r="28">
          <cell r="BA28">
            <v>16883.02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0</v>
          </cell>
        </row>
        <row r="33">
          <cell r="BA33">
            <v>632.9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0</v>
          </cell>
        </row>
        <row r="37">
          <cell r="BA37">
            <v>238.97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17872.72</v>
          </cell>
        </row>
        <row r="41">
          <cell r="BA41">
            <v>5293.28</v>
          </cell>
        </row>
        <row r="42">
          <cell r="BA42">
            <v>48614.79</v>
          </cell>
        </row>
        <row r="43">
          <cell r="BA43">
            <v>0</v>
          </cell>
        </row>
        <row r="44">
          <cell r="BA44">
            <v>0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Ercot Trading</v>
          </cell>
        </row>
      </sheetData>
      <sheetData sheetId="1">
        <row r="1">
          <cell r="B1" t="str">
            <v>Enron North America</v>
          </cell>
        </row>
        <row r="3">
          <cell r="B3">
            <v>37135</v>
          </cell>
        </row>
        <row r="25">
          <cell r="BA25">
            <v>514066.23</v>
          </cell>
        </row>
        <row r="26">
          <cell r="BA26">
            <v>101915.64</v>
          </cell>
        </row>
        <row r="27">
          <cell r="BA27">
            <v>35923.87</v>
          </cell>
        </row>
        <row r="28">
          <cell r="BA28">
            <v>15703.86</v>
          </cell>
        </row>
        <row r="29">
          <cell r="BA29">
            <v>9798.02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0</v>
          </cell>
        </row>
        <row r="33">
          <cell r="BA33">
            <v>6868.09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0</v>
          </cell>
        </row>
        <row r="37">
          <cell r="BA37">
            <v>145477.97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17422.34</v>
          </cell>
        </row>
        <row r="41">
          <cell r="BA41">
            <v>27016.04</v>
          </cell>
        </row>
        <row r="42">
          <cell r="BA42">
            <v>109727.29</v>
          </cell>
        </row>
        <row r="43">
          <cell r="BA43">
            <v>0</v>
          </cell>
        </row>
        <row r="44">
          <cell r="BA44">
            <v>81.42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Ercot Origination</v>
          </cell>
        </row>
      </sheetData>
      <sheetData sheetId="1">
        <row r="1">
          <cell r="B1" t="str">
            <v>Enron North America</v>
          </cell>
        </row>
        <row r="3">
          <cell r="B3">
            <v>37135</v>
          </cell>
        </row>
        <row r="25">
          <cell r="BA25">
            <v>405134.34</v>
          </cell>
        </row>
        <row r="26">
          <cell r="BA26">
            <v>100933.45</v>
          </cell>
        </row>
        <row r="27">
          <cell r="BA27">
            <v>17122.72</v>
          </cell>
        </row>
        <row r="28">
          <cell r="BA28">
            <v>127699.52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2489.47</v>
          </cell>
        </row>
        <row r="33">
          <cell r="BA33">
            <v>2719</v>
          </cell>
        </row>
        <row r="34">
          <cell r="BA34">
            <v>0</v>
          </cell>
        </row>
        <row r="35">
          <cell r="BA35">
            <v>300</v>
          </cell>
        </row>
        <row r="36">
          <cell r="BA36">
            <v>129.24</v>
          </cell>
        </row>
        <row r="37">
          <cell r="BA37">
            <v>1267.8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21771.19</v>
          </cell>
        </row>
        <row r="41">
          <cell r="BA41">
            <v>27624</v>
          </cell>
        </row>
        <row r="42">
          <cell r="BA42">
            <v>56703.48</v>
          </cell>
        </row>
        <row r="43">
          <cell r="BA43">
            <v>0</v>
          </cell>
        </row>
        <row r="44">
          <cell r="BA44">
            <v>54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Southeast Trading</v>
          </cell>
        </row>
      </sheetData>
      <sheetData sheetId="1">
        <row r="1">
          <cell r="B1" t="str">
            <v>Enron North America</v>
          </cell>
        </row>
        <row r="3">
          <cell r="B3">
            <v>37135</v>
          </cell>
        </row>
        <row r="25">
          <cell r="BA25">
            <v>872168.45</v>
          </cell>
        </row>
        <row r="26">
          <cell r="BA26">
            <v>165073.78</v>
          </cell>
        </row>
        <row r="27">
          <cell r="BA27">
            <v>44114.16</v>
          </cell>
        </row>
        <row r="28">
          <cell r="BA28">
            <v>43025.3</v>
          </cell>
        </row>
        <row r="29">
          <cell r="BA29">
            <v>31742.32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28750</v>
          </cell>
        </row>
        <row r="33">
          <cell r="BA33">
            <v>433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0</v>
          </cell>
        </row>
        <row r="37">
          <cell r="BA37">
            <v>14417.72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18986.29</v>
          </cell>
        </row>
        <row r="41">
          <cell r="BA41">
            <v>31726.59</v>
          </cell>
        </row>
        <row r="42">
          <cell r="BA42">
            <v>130908.9</v>
          </cell>
        </row>
        <row r="43">
          <cell r="BA43">
            <v>0</v>
          </cell>
        </row>
        <row r="44">
          <cell r="BA44">
            <v>123.97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Southeast Origination</v>
          </cell>
        </row>
      </sheetData>
      <sheetData sheetId="1">
        <row r="1">
          <cell r="B1" t="str">
            <v>Enron North America</v>
          </cell>
        </row>
        <row r="3">
          <cell r="B3">
            <v>37135</v>
          </cell>
        </row>
        <row r="25">
          <cell r="BA25">
            <v>609061.72</v>
          </cell>
        </row>
        <row r="26">
          <cell r="BA26">
            <v>138110</v>
          </cell>
        </row>
        <row r="27">
          <cell r="BA27">
            <v>43971.2</v>
          </cell>
        </row>
        <row r="28">
          <cell r="BA28">
            <v>272272.65</v>
          </cell>
        </row>
        <row r="29">
          <cell r="BA29">
            <v>986513.84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310145.14</v>
          </cell>
        </row>
        <row r="33">
          <cell r="BA33">
            <v>6445.68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0</v>
          </cell>
        </row>
        <row r="37">
          <cell r="BA37">
            <v>54297.13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29085.25</v>
          </cell>
        </row>
        <row r="41">
          <cell r="BA41">
            <v>36371.75</v>
          </cell>
        </row>
        <row r="42">
          <cell r="BA42">
            <v>230453.03</v>
          </cell>
        </row>
        <row r="43">
          <cell r="BA43">
            <v>29708.35</v>
          </cell>
        </row>
        <row r="44">
          <cell r="BA44">
            <v>81.47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Midwest Trading</v>
          </cell>
        </row>
      </sheetData>
      <sheetData sheetId="1">
        <row r="1">
          <cell r="B1" t="str">
            <v>Enron North America</v>
          </cell>
        </row>
        <row r="3">
          <cell r="B3">
            <v>37135</v>
          </cell>
        </row>
        <row r="25">
          <cell r="BA25">
            <v>898658.07</v>
          </cell>
        </row>
        <row r="26">
          <cell r="BA26">
            <v>181186.2</v>
          </cell>
        </row>
        <row r="27">
          <cell r="BA27">
            <v>16314.75</v>
          </cell>
        </row>
        <row r="28">
          <cell r="BA28">
            <v>47380.49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12093.23</v>
          </cell>
        </row>
        <row r="33">
          <cell r="BA33">
            <v>578.05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0</v>
          </cell>
        </row>
        <row r="37">
          <cell r="BA37">
            <v>5658.16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25630.5</v>
          </cell>
        </row>
        <row r="41">
          <cell r="BA41">
            <v>30375.8</v>
          </cell>
        </row>
        <row r="42">
          <cell r="BA42">
            <v>155579.62</v>
          </cell>
        </row>
        <row r="43">
          <cell r="BA43">
            <v>0</v>
          </cell>
        </row>
        <row r="44">
          <cell r="BA44">
            <v>144.88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Midwest Origination</v>
          </cell>
        </row>
      </sheetData>
      <sheetData sheetId="1">
        <row r="1">
          <cell r="B1" t="str">
            <v>Enron North America</v>
          </cell>
        </row>
        <row r="3">
          <cell r="B3">
            <v>37135</v>
          </cell>
        </row>
        <row r="25">
          <cell r="BA25">
            <v>744669.81</v>
          </cell>
        </row>
        <row r="26">
          <cell r="BA26">
            <v>137226.64</v>
          </cell>
        </row>
        <row r="27">
          <cell r="BA27">
            <v>43773.07</v>
          </cell>
        </row>
        <row r="28">
          <cell r="BA28">
            <v>114815.45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242.05</v>
          </cell>
        </row>
        <row r="33">
          <cell r="BA33">
            <v>9557.08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158.21</v>
          </cell>
        </row>
        <row r="37">
          <cell r="BA37">
            <v>9885.14</v>
          </cell>
        </row>
        <row r="38">
          <cell r="BA38">
            <v>20.9</v>
          </cell>
        </row>
        <row r="39">
          <cell r="BA39">
            <v>0</v>
          </cell>
        </row>
        <row r="40">
          <cell r="BA40">
            <v>18344.88</v>
          </cell>
        </row>
        <row r="41">
          <cell r="BA41">
            <v>34560.49</v>
          </cell>
        </row>
        <row r="42">
          <cell r="BA42">
            <v>121827.46</v>
          </cell>
        </row>
        <row r="43">
          <cell r="BA43">
            <v>0</v>
          </cell>
        </row>
        <row r="44">
          <cell r="BA44">
            <v>106.7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Northeast Trading</v>
          </cell>
        </row>
      </sheetData>
      <sheetData sheetId="1">
        <row r="1">
          <cell r="B1" t="str">
            <v>Enron North America</v>
          </cell>
        </row>
        <row r="3">
          <cell r="B3">
            <v>37135</v>
          </cell>
        </row>
        <row r="25">
          <cell r="BA25">
            <v>1331642.27</v>
          </cell>
        </row>
        <row r="26">
          <cell r="BA26">
            <v>230448.42</v>
          </cell>
        </row>
        <row r="27">
          <cell r="BA27">
            <v>25845.53</v>
          </cell>
        </row>
        <row r="28">
          <cell r="BA28">
            <v>61565.93</v>
          </cell>
        </row>
        <row r="29">
          <cell r="BA29">
            <v>104572.91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26250</v>
          </cell>
        </row>
        <row r="33">
          <cell r="BA33">
            <v>333.47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0</v>
          </cell>
        </row>
        <row r="37">
          <cell r="BA37">
            <v>14862.38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61367.97</v>
          </cell>
        </row>
        <row r="41">
          <cell r="BA41">
            <v>42996.39</v>
          </cell>
        </row>
        <row r="42">
          <cell r="BA42">
            <v>192893.47</v>
          </cell>
        </row>
        <row r="43">
          <cell r="BA43">
            <v>0</v>
          </cell>
        </row>
        <row r="44">
          <cell r="BA44">
            <v>168.96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Northeast Origination</v>
          </cell>
        </row>
      </sheetData>
      <sheetData sheetId="1">
        <row r="1">
          <cell r="B1" t="str">
            <v>Enron North America</v>
          </cell>
        </row>
        <row r="3">
          <cell r="B3">
            <v>37135</v>
          </cell>
        </row>
        <row r="25">
          <cell r="BA25">
            <v>806063.49</v>
          </cell>
        </row>
        <row r="26">
          <cell r="BA26">
            <v>153163.92</v>
          </cell>
        </row>
        <row r="27">
          <cell r="BA27">
            <v>39620.5</v>
          </cell>
        </row>
        <row r="28">
          <cell r="BA28">
            <v>246249.59</v>
          </cell>
        </row>
        <row r="29">
          <cell r="BA29">
            <v>107291.84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20336.08</v>
          </cell>
        </row>
        <row r="33">
          <cell r="BA33">
            <v>2960.78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0</v>
          </cell>
        </row>
        <row r="37">
          <cell r="BA37">
            <v>1975.28</v>
          </cell>
        </row>
        <row r="38">
          <cell r="BA38">
            <v>17.42</v>
          </cell>
        </row>
        <row r="39">
          <cell r="BA39">
            <v>0</v>
          </cell>
        </row>
        <row r="40">
          <cell r="BA40">
            <v>21681.28</v>
          </cell>
        </row>
        <row r="41">
          <cell r="BA41">
            <v>44521.96</v>
          </cell>
        </row>
        <row r="42">
          <cell r="BA42">
            <v>187081.08</v>
          </cell>
        </row>
        <row r="43">
          <cell r="BA43">
            <v>0</v>
          </cell>
        </row>
        <row r="44">
          <cell r="BA44">
            <v>105.32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19.14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56"/>
  </cols>
  <sheetData>
    <row r="1" customFormat="false" ht="18" hidden="false" customHeight="false" outlineLevel="0" collapsed="false">
      <c r="B1" s="1" t="str">
        <f aca="false">'[1]Team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">
        <v>0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3" t="n">
        <f aca="false">'[1]Team Report'!B3</f>
        <v>37135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6" t="s">
        <v>1</v>
      </c>
    </row>
    <row r="7" customFormat="false" ht="12.75" hidden="false" customHeight="false" outlineLevel="0" collapsed="false">
      <c r="C7" s="7" t="s">
        <v>2</v>
      </c>
      <c r="E7" s="7" t="s">
        <v>3</v>
      </c>
      <c r="G7" s="6" t="s">
        <v>4</v>
      </c>
    </row>
    <row r="8" customFormat="false" ht="12.75" hidden="false" customHeight="false" outlineLevel="0" collapsed="false">
      <c r="A8" s="8" t="s">
        <v>5</v>
      </c>
      <c r="B8" s="9" t="s">
        <v>6</v>
      </c>
      <c r="C8" s="10" t="n">
        <f aca="false">'Ercot Trading'!C8+'Ercot Origination'!C8+'Southeast Trading'!C8+'Southeast Origination'!C8+'Midwest Trading'!C8+'Midwest Origination'!C8+'Northeast Trading'!C8+'Northeast Origination'!C8+'Management Book'!C8+Structuring_Fund!C8+Services!C8+Options!C8</f>
        <v>6640774.8</v>
      </c>
      <c r="E8" s="10" t="n">
        <f aca="false">(C8/9)*12</f>
        <v>8854366.4</v>
      </c>
      <c r="G8" s="11" t="n">
        <f aca="false">E8/$E$23</f>
        <v>0.435741837831599</v>
      </c>
    </row>
    <row r="9" customFormat="false" ht="12.75" hidden="false" customHeight="false" outlineLevel="0" collapsed="false">
      <c r="A9" s="8"/>
      <c r="B9" s="9" t="s">
        <v>7</v>
      </c>
      <c r="C9" s="10" t="n">
        <f aca="false">'Ercot Trading'!C9+'Ercot Origination'!C9+'Southeast Trading'!C9+'Southeast Origination'!C9+'Midwest Trading'!C9+'Midwest Origination'!C9+'Northeast Trading'!C9+'Northeast Origination'!C9+'Management Book'!C9+Structuring_Fund!C9+Services!C9+Options!C9</f>
        <v>1460000</v>
      </c>
      <c r="E9" s="10" t="n">
        <f aca="false">C9</f>
        <v>1460000</v>
      </c>
      <c r="G9" s="11" t="n">
        <f aca="false">E9/$E$23</f>
        <v>0.0718496450784028</v>
      </c>
    </row>
    <row r="10" customFormat="false" ht="12.75" hidden="false" customHeight="false" outlineLevel="0" collapsed="false">
      <c r="A10" s="8"/>
      <c r="B10" s="9" t="s">
        <v>8</v>
      </c>
      <c r="C10" s="10" t="n">
        <f aca="false">'Ercot Trading'!C10+'Ercot Origination'!C10+'Southeast Trading'!C10+'Southeast Origination'!C10+'Midwest Trading'!C10+'Midwest Origination'!C10+'Northeast Trading'!C10+'Northeast Origination'!C10+'Management Book'!C10+Structuring_Fund!C10+Services!C10+Options!C10</f>
        <v>2652510</v>
      </c>
      <c r="E10" s="10" t="n">
        <f aca="false">(C10/9)*12</f>
        <v>3536680</v>
      </c>
      <c r="G10" s="11" t="n">
        <f aca="false">E10/$E$23</f>
        <v>0.174047399147867</v>
      </c>
    </row>
    <row r="11" customFormat="false" ht="12.75" hidden="false" customHeight="false" outlineLevel="0" collapsed="false">
      <c r="A11" s="8" t="s">
        <v>9</v>
      </c>
      <c r="B11" s="9" t="s">
        <v>10</v>
      </c>
      <c r="C11" s="10" t="n">
        <f aca="false">'Ercot Trading'!C11+'Ercot Origination'!C11+'Southeast Trading'!C11+'Southeast Origination'!C11+'Midwest Trading'!C11+'Midwest Origination'!C11+'Northeast Trading'!C11+'Northeast Origination'!C11+'Management Book'!C11+Structuring_Fund!C11+Services!C11+Options!C11</f>
        <v>1536343.46</v>
      </c>
      <c r="E11" s="10" t="n">
        <f aca="false">(C11/9)*12</f>
        <v>2048457.94666667</v>
      </c>
      <c r="G11" s="11" t="n">
        <f aca="false">E11/$E$23</f>
        <v>0.100808887963037</v>
      </c>
    </row>
    <row r="12" customFormat="false" ht="12.75" hidden="false" customHeight="false" outlineLevel="0" collapsed="false">
      <c r="A12" s="8" t="s">
        <v>11</v>
      </c>
      <c r="B12" s="9" t="s">
        <v>12</v>
      </c>
      <c r="C12" s="10" t="n">
        <f aca="false">'Ercot Trading'!C12+'Ercot Origination'!C12+'Southeast Trading'!C12+'Southeast Origination'!C12+'Midwest Trading'!C12+'Midwest Origination'!C12+'Northeast Trading'!C12+'Northeast Origination'!C12+'Management Book'!C12+Structuring_Fund!C12+Services!C12+Options!C12</f>
        <v>556457.2</v>
      </c>
      <c r="E12" s="10" t="n">
        <f aca="false">(C12/9)*12</f>
        <v>741942.933333333</v>
      </c>
      <c r="G12" s="11" t="n">
        <f aca="false">E12/$E$23</f>
        <v>0.0365125591975541</v>
      </c>
    </row>
    <row r="13" customFormat="false" ht="12.75" hidden="false" customHeight="false" outlineLevel="0" collapsed="false">
      <c r="A13" s="8" t="s">
        <v>13</v>
      </c>
      <c r="B13" s="9" t="s">
        <v>14</v>
      </c>
      <c r="C13" s="10" t="n">
        <f aca="false">'Ercot Trading'!C13+'Ercot Origination'!C13+'Southeast Trading'!C13+'Southeast Origination'!C13+'Midwest Trading'!C13+'Midwest Origination'!C13+'Northeast Trading'!C13+'Northeast Origination'!C13+'Management Book'!C13+Structuring_Fund!C13+Services!C13+Options!C13</f>
        <v>1014365.41</v>
      </c>
      <c r="E13" s="10" t="n">
        <f aca="false">(C13/9)*12</f>
        <v>1352487.21333333</v>
      </c>
      <c r="G13" s="11" t="n">
        <f aca="false">E13/$E$23</f>
        <v>0.0665587166103274</v>
      </c>
    </row>
    <row r="14" customFormat="false" ht="12.75" hidden="false" customHeight="false" outlineLevel="0" collapsed="false">
      <c r="A14" s="8" t="s">
        <v>15</v>
      </c>
      <c r="B14" s="9" t="s">
        <v>16</v>
      </c>
      <c r="C14" s="10" t="n">
        <f aca="false">'Ercot Trading'!C14+'Ercot Origination'!C14+'Southeast Trading'!C14+'Southeast Origination'!C14+'Midwest Trading'!C14+'Midwest Origination'!C14+'Northeast Trading'!C14+'Northeast Origination'!C14+'Management Book'!C14+Structuring_Fund!C14+Services!C14+Options!C14</f>
        <v>524067.38</v>
      </c>
      <c r="E14" s="10" t="n">
        <f aca="false">(C14/9)*12</f>
        <v>698756.506666667</v>
      </c>
      <c r="G14" s="11" t="n">
        <f aca="false">E14/$E$23</f>
        <v>0.034387265068647</v>
      </c>
    </row>
    <row r="15" customFormat="false" ht="12.75" hidden="false" customHeight="false" outlineLevel="0" collapsed="false">
      <c r="A15" s="8" t="s">
        <v>17</v>
      </c>
      <c r="B15" s="9" t="s">
        <v>18</v>
      </c>
      <c r="C15" s="10" t="n">
        <f aca="false">'Ercot Trading'!C15+'Ercot Origination'!C15+'Southeast Trading'!C15+'Southeast Origination'!C15+'Midwest Trading'!C15+'Midwest Origination'!C15+'Northeast Trading'!C15+'Northeast Origination'!C15+'Management Book'!C15+Structuring_Fund!C15+Services!C15+Options!C15</f>
        <v>93227.13</v>
      </c>
      <c r="E15" s="10" t="n">
        <f aca="false">(C15/9)*12</f>
        <v>124302.84</v>
      </c>
      <c r="G15" s="11" t="n">
        <f aca="false">E15/$E$23</f>
        <v>0.00611720201112156</v>
      </c>
    </row>
    <row r="16" customFormat="false" ht="12.75" hidden="false" customHeight="false" outlineLevel="0" collapsed="false">
      <c r="A16" s="8" t="s">
        <v>19</v>
      </c>
      <c r="B16" s="9" t="s">
        <v>20</v>
      </c>
      <c r="C16" s="10" t="n">
        <f aca="false">'Ercot Trading'!C16+'Ercot Origination'!C16+'Southeast Trading'!C16+'Southeast Origination'!C16+'Midwest Trading'!C16+'Midwest Origination'!C16+'Northeast Trading'!C16+'Northeast Origination'!C16+'Management Book'!C16+Structuring_Fund!C16+Services!C16+Options!C16</f>
        <v>0</v>
      </c>
      <c r="E16" s="10" t="n">
        <f aca="false">(C16/9)*12</f>
        <v>0</v>
      </c>
      <c r="G16" s="11" t="n">
        <f aca="false">E16/$E$23</f>
        <v>0</v>
      </c>
    </row>
    <row r="17" customFormat="false" ht="12.75" hidden="false" customHeight="false" outlineLevel="0" collapsed="false">
      <c r="A17" s="8" t="s">
        <v>21</v>
      </c>
      <c r="B17" s="9" t="s">
        <v>22</v>
      </c>
      <c r="C17" s="10" t="n">
        <f aca="false">'Ercot Trading'!C17+'Ercot Origination'!C17+'Southeast Trading'!C17+'Southeast Origination'!C17+'Midwest Trading'!C17+'Midwest Origination'!C17+'Northeast Trading'!C17+'Northeast Origination'!C17+'Management Book'!C17+Structuring_Fund!C17+Services!C17+Options!C17</f>
        <v>5300</v>
      </c>
      <c r="E17" s="10" t="n">
        <f aca="false">(C17/9)*12</f>
        <v>7066.66666666667</v>
      </c>
      <c r="G17" s="11" t="n">
        <f aca="false">E17/$E$23</f>
        <v>0.000347765405402315</v>
      </c>
    </row>
    <row r="18" customFormat="false" ht="12.75" hidden="false" customHeight="false" outlineLevel="0" collapsed="false">
      <c r="A18" s="8" t="s">
        <v>23</v>
      </c>
      <c r="B18" s="9" t="s">
        <v>24</v>
      </c>
      <c r="C18" s="10" t="n">
        <f aca="false">'Ercot Trading'!C18+'Ercot Origination'!C18+'Southeast Trading'!C18+'Southeast Origination'!C18+'Midwest Trading'!C18+'Midwest Origination'!C18+'Northeast Trading'!C18+'Northeast Origination'!C18+'Management Book'!C18+Structuring_Fund!C18+Services!C18+Options!C18</f>
        <v>287.289999999997</v>
      </c>
      <c r="E18" s="10" t="n">
        <f aca="false">(C18/9)*12</f>
        <v>383.053333333329</v>
      </c>
      <c r="G18" s="11" t="n">
        <f aca="false">E18/$E$23</f>
        <v>1.8850853456232E-005</v>
      </c>
    </row>
    <row r="19" customFormat="false" ht="12.75" hidden="false" customHeight="false" outlineLevel="0" collapsed="false">
      <c r="A19" s="8" t="s">
        <v>25</v>
      </c>
      <c r="B19" s="9" t="s">
        <v>26</v>
      </c>
      <c r="C19" s="10" t="n">
        <f aca="false">'Ercot Trading'!C19+'Ercot Origination'!C19+'Southeast Trading'!C19+'Southeast Origination'!C19+'Midwest Trading'!C19+'Midwest Origination'!C19+'Northeast Trading'!C19+'Northeast Origination'!C19+'Management Book'!C19+Structuring_Fund!C19+Services!C19+Options!C19</f>
        <v>487149.2</v>
      </c>
      <c r="E19" s="10" t="n">
        <f aca="false">(C19/9)*12</f>
        <v>649532.266666667</v>
      </c>
      <c r="G19" s="11" t="n">
        <f aca="false">E19/$E$23</f>
        <v>0.0319648375527195</v>
      </c>
    </row>
    <row r="20" customFormat="false" ht="12.75" hidden="false" customHeight="false" outlineLevel="0" collapsed="false">
      <c r="A20" s="8" t="s">
        <v>27</v>
      </c>
      <c r="B20" s="9" t="s">
        <v>28</v>
      </c>
      <c r="C20" s="10" t="n">
        <f aca="false">'Ercot Trading'!C20+'Ercot Origination'!C20+'Southeast Trading'!C20+'Southeast Origination'!C20+'Midwest Trading'!C20+'Midwest Origination'!C20+'Northeast Trading'!C20+'Northeast Origination'!C20+'Management Book'!C20+Structuring_Fund!C20+Services!C20+Options!C20</f>
        <v>78.18</v>
      </c>
      <c r="E20" s="10" t="n">
        <f aca="false">(C20/9)*12</f>
        <v>104.24</v>
      </c>
      <c r="G20" s="11" t="n">
        <f aca="false">E20/$E$23</f>
        <v>5.12986781025528E-006</v>
      </c>
    </row>
    <row r="21" customFormat="false" ht="12.75" hidden="false" customHeight="false" outlineLevel="0" collapsed="false">
      <c r="A21" s="8" t="s">
        <v>29</v>
      </c>
      <c r="B21" s="9" t="s">
        <v>30</v>
      </c>
      <c r="C21" s="10" t="n">
        <f aca="false">'Ercot Trading'!C21+'Ercot Origination'!C21+'Southeast Trading'!C21+'Southeast Origination'!C21+'Midwest Trading'!C21+'Midwest Origination'!C21+'Northeast Trading'!C21+'Northeast Origination'!C21+'Management Book'!C21+Structuring_Fund!C21+Services!C21+Options!C21</f>
        <v>633408.5</v>
      </c>
      <c r="E21" s="10" t="n">
        <f aca="false">(C21/9)*12</f>
        <v>844544.666666667</v>
      </c>
      <c r="G21" s="11" t="n">
        <f aca="false">E21/$E$23</f>
        <v>0.0415618044882589</v>
      </c>
    </row>
    <row r="22" customFormat="false" ht="12.75" hidden="false" customHeight="false" outlineLevel="0" collapsed="false">
      <c r="A22" s="8" t="s">
        <v>31</v>
      </c>
      <c r="B22" s="9" t="s">
        <v>32</v>
      </c>
      <c r="C22" s="10" t="n">
        <f aca="false">'Ercot Trading'!C22+'Ercot Origination'!C22+'Southeast Trading'!C22+'Southeast Origination'!C22+'Midwest Trading'!C22+'Midwest Origination'!C22+'Northeast Trading'!C22+'Northeast Origination'!C22+'Management Book'!C22+Structuring_Fund!C22+Services!C22+Options!C22</f>
        <v>1190.24</v>
      </c>
      <c r="E22" s="10" t="n">
        <f aca="false">(C22/9)*12</f>
        <v>1586.98666666667</v>
      </c>
      <c r="G22" s="11" t="n">
        <f aca="false">E22/$E$23</f>
        <v>7.80989237973681E-005</v>
      </c>
    </row>
    <row r="23" customFormat="false" ht="12.75" hidden="false" customHeight="false" outlineLevel="0" collapsed="false">
      <c r="A23" s="12" t="s">
        <v>33</v>
      </c>
      <c r="B23" s="13" t="s">
        <v>34</v>
      </c>
      <c r="C23" s="14" t="n">
        <f aca="false">SUM(C8:C22)</f>
        <v>15605158.79</v>
      </c>
      <c r="E23" s="14" t="n">
        <f aca="false">SUM(E8:E22)</f>
        <v>20320211.72</v>
      </c>
      <c r="G23" s="15" t="n">
        <f aca="false">SUM(G8:G22)</f>
        <v>1</v>
      </c>
    </row>
    <row r="25" customFormat="false" ht="12.75" hidden="false" customHeight="false" outlineLevel="0" collapsed="false">
      <c r="B25" s="13" t="s">
        <v>35</v>
      </c>
      <c r="C25" s="10"/>
      <c r="E25" s="16" t="n">
        <f aca="false">'Ercot Trading'!E25+'Ercot Origination'!E25+'Southeast Trading'!E25+'Southeast Origination'!E25+'Midwest Trading'!E25+'Midwest Origination'!E25+'Northeast Trading'!E25+'Northeast Origination'!E25+'Management Book'!E25+Structuring_Fund!E25+Services!E25+Options!E25</f>
        <v>91</v>
      </c>
    </row>
    <row r="26" customFormat="false" ht="12.75" hidden="false" customHeight="false" outlineLevel="0" collapsed="false">
      <c r="C26" s="10"/>
      <c r="E26" s="10"/>
    </row>
    <row r="27" customFormat="false" ht="12.75" hidden="false" customHeight="false" outlineLevel="0" collapsed="false">
      <c r="B27" s="13" t="s">
        <v>36</v>
      </c>
      <c r="C27" s="10"/>
      <c r="E27" s="16" t="n">
        <f aca="false">'Ercot Trading'!E27+'Ercot Origination'!E27+'Southeast Trading'!E27+'Southeast Origination'!E27+'Midwest Trading'!E27+'Midwest Origination'!E27+'Northeast Trading'!E27+'Northeast Origination'!E27+'Management Book'!E27+Structuring_Fund!E27+Services!E27+Options!E27</f>
        <v>50</v>
      </c>
    </row>
    <row r="28" customFormat="false" ht="12.75" hidden="false" customHeight="false" outlineLevel="0" collapsed="false">
      <c r="B28" s="13"/>
    </row>
    <row r="29" customFormat="false" ht="12.75" hidden="false" customHeight="false" outlineLevel="0" collapsed="false">
      <c r="B29" s="13" t="s">
        <v>37</v>
      </c>
      <c r="E29" s="17" t="n">
        <f aca="false">SUM(E25:E27)</f>
        <v>141</v>
      </c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: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99"/>
    <col collapsed="false" customWidth="true" hidden="false" outlineLevel="0" max="3" min="3" style="0" width="15.85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56"/>
  </cols>
  <sheetData>
    <row r="1" customFormat="false" ht="18" hidden="false" customHeight="false" outlineLevel="0" collapsed="false">
      <c r="B1" s="1" t="str">
        <f aca="false">'[10]Team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tr">
        <f aca="false">'[10]Pull Sheet'!E9</f>
        <v>Management Book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3" t="n">
        <f aca="false">'[10]Team Report'!B3</f>
        <v>37135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6" t="s">
        <v>1</v>
      </c>
    </row>
    <row r="7" customFormat="false" ht="12.75" hidden="false" customHeight="false" outlineLevel="0" collapsed="false">
      <c r="C7" s="7" t="s">
        <v>2</v>
      </c>
      <c r="E7" s="7" t="s">
        <v>3</v>
      </c>
      <c r="G7" s="6" t="s">
        <v>4</v>
      </c>
    </row>
    <row r="8" customFormat="false" ht="12.75" hidden="false" customHeight="false" outlineLevel="0" collapsed="false">
      <c r="A8" s="8" t="s">
        <v>5</v>
      </c>
      <c r="B8" s="9" t="s">
        <v>6</v>
      </c>
      <c r="C8" s="10" t="n">
        <f aca="false">'[10]Team Report'!BA25-C9-631482-76000</f>
        <v>345705.82</v>
      </c>
      <c r="E8" s="10" t="n">
        <f aca="false">(C8/9)*12</f>
        <v>460941.093333333</v>
      </c>
      <c r="G8" s="11" t="n">
        <f aca="false">E8/$E$23</f>
        <v>0.182241009112999</v>
      </c>
    </row>
    <row r="9" customFormat="false" ht="12.75" hidden="false" customHeight="false" outlineLevel="0" collapsed="false">
      <c r="A9" s="8"/>
      <c r="B9" s="9" t="s">
        <v>7</v>
      </c>
      <c r="C9" s="10" t="n">
        <v>150000</v>
      </c>
      <c r="E9" s="10" t="n">
        <f aca="false">C9</f>
        <v>150000</v>
      </c>
      <c r="G9" s="11" t="n">
        <f aca="false">E9/$E$23</f>
        <v>0.0593050864032673</v>
      </c>
    </row>
    <row r="10" customFormat="false" ht="12.75" hidden="false" customHeight="false" outlineLevel="0" collapsed="false">
      <c r="B10" s="9" t="s">
        <v>8</v>
      </c>
      <c r="C10" s="10" t="n">
        <f aca="false">76000+13014+25278+13500+18900</f>
        <v>146692</v>
      </c>
      <c r="E10" s="10" t="n">
        <f aca="false">(C10/9)*12</f>
        <v>195589.333333333</v>
      </c>
      <c r="G10" s="11" t="n">
        <f aca="false">E10/$E$23</f>
        <v>0.0773296154192719</v>
      </c>
    </row>
    <row r="11" customFormat="false" ht="12.75" hidden="false" customHeight="false" outlineLevel="0" collapsed="false">
      <c r="A11" s="8" t="s">
        <v>9</v>
      </c>
      <c r="B11" s="9" t="s">
        <v>10</v>
      </c>
      <c r="C11" s="10" t="n">
        <f aca="false">'[10]Team Report'!BA26-81629-43074-560-535-13014-13500</f>
        <v>109518.69</v>
      </c>
      <c r="E11" s="10" t="n">
        <f aca="false">(C11/9)*12</f>
        <v>146024.92</v>
      </c>
      <c r="G11" s="11" t="n">
        <f aca="false">E11/$E$23</f>
        <v>0.0577334699842013</v>
      </c>
    </row>
    <row r="12" customFormat="false" ht="12.75" hidden="false" customHeight="false" outlineLevel="0" collapsed="false">
      <c r="A12" s="8" t="s">
        <v>11</v>
      </c>
      <c r="B12" s="9" t="s">
        <v>12</v>
      </c>
      <c r="C12" s="10" t="n">
        <f aca="false">'[10]Team Report'!BA27-1005-10582-710-163274-10458-7505</f>
        <v>145400.1</v>
      </c>
      <c r="E12" s="10" t="n">
        <f aca="false">(C12/9)*12</f>
        <v>193866.8</v>
      </c>
      <c r="G12" s="11" t="n">
        <f aca="false">E12/$E$23</f>
        <v>0.0766485821648329</v>
      </c>
    </row>
    <row r="13" customFormat="false" ht="12.75" hidden="false" customHeight="false" outlineLevel="0" collapsed="false">
      <c r="A13" s="8" t="s">
        <v>13</v>
      </c>
      <c r="B13" s="9" t="s">
        <v>14</v>
      </c>
      <c r="C13" s="10" t="n">
        <f aca="false">'[10]Team Report'!BA28-7679-159402-233-196-597-9080</f>
        <v>165802.99</v>
      </c>
      <c r="E13" s="10" t="n">
        <f aca="false">(C13/9)*12</f>
        <v>221070.653333333</v>
      </c>
      <c r="G13" s="11" t="n">
        <f aca="false">E13/$E$23</f>
        <v>0.0874040946477339</v>
      </c>
    </row>
    <row r="14" customFormat="false" ht="12.75" hidden="false" customHeight="false" outlineLevel="0" collapsed="false">
      <c r="A14" s="8" t="s">
        <v>15</v>
      </c>
      <c r="B14" s="9" t="s">
        <v>16</v>
      </c>
      <c r="C14" s="10" t="n">
        <f aca="false">'[10]Team Report'!BA32-23224-887748-C42</f>
        <v>296513.4</v>
      </c>
      <c r="E14" s="10" t="n">
        <f aca="false">(C14/9)*12</f>
        <v>395351.2</v>
      </c>
      <c r="G14" s="11" t="n">
        <f aca="false">E14/$E$23</f>
        <v>0.156308913837569</v>
      </c>
    </row>
    <row r="15" customFormat="false" ht="12.75" hidden="false" customHeight="false" outlineLevel="0" collapsed="false">
      <c r="A15" s="8" t="s">
        <v>17</v>
      </c>
      <c r="B15" s="9" t="s">
        <v>18</v>
      </c>
      <c r="C15" s="10" t="n">
        <f aca="false">'[10]Team Report'!BA33-13593</f>
        <v>50390.18</v>
      </c>
      <c r="E15" s="10" t="n">
        <f aca="false">(C15/9)*12</f>
        <v>67186.9066666667</v>
      </c>
      <c r="G15" s="11" t="n">
        <f aca="false">E15/$E$23</f>
        <v>0.0265635020335661</v>
      </c>
    </row>
    <row r="16" customFormat="false" ht="12.75" hidden="false" customHeight="false" outlineLevel="0" collapsed="false">
      <c r="A16" s="8" t="s">
        <v>19</v>
      </c>
      <c r="B16" s="9" t="s">
        <v>20</v>
      </c>
      <c r="C16" s="10" t="n">
        <f aca="false">'[10]Team Report'!BA34</f>
        <v>0</v>
      </c>
      <c r="E16" s="10" t="n">
        <f aca="false">(C16/9)*12</f>
        <v>0</v>
      </c>
      <c r="G16" s="11" t="n">
        <f aca="false">E16/$E$23</f>
        <v>0</v>
      </c>
    </row>
    <row r="17" customFormat="false" ht="12.75" hidden="false" customHeight="false" outlineLevel="0" collapsed="false">
      <c r="A17" s="8" t="s">
        <v>21</v>
      </c>
      <c r="B17" s="9" t="s">
        <v>22</v>
      </c>
      <c r="C17" s="10" t="n">
        <f aca="false">'[10]Team Report'!BA35</f>
        <v>5000</v>
      </c>
      <c r="E17" s="10" t="n">
        <f aca="false">(C17/9)*12</f>
        <v>6666.66666666667</v>
      </c>
      <c r="G17" s="11" t="n">
        <f aca="false">E17/$E$23</f>
        <v>0.00263578161792299</v>
      </c>
    </row>
    <row r="18" customFormat="false" ht="12.75" hidden="false" customHeight="false" outlineLevel="0" collapsed="false">
      <c r="A18" s="8" t="s">
        <v>23</v>
      </c>
      <c r="B18" s="9" t="s">
        <v>24</v>
      </c>
      <c r="C18" s="10" t="n">
        <f aca="false">'[10]Team Report'!BA36-87973-619</f>
        <v>-0.160000000003492</v>
      </c>
      <c r="E18" s="10" t="n">
        <f aca="false">(C18/9)*12</f>
        <v>-0.21333333333799</v>
      </c>
      <c r="G18" s="11" t="n">
        <f aca="false">E18/$E$23</f>
        <v>-8.43450117753767E-008</v>
      </c>
    </row>
    <row r="19" customFormat="false" ht="12.75" hidden="false" customHeight="false" outlineLevel="0" collapsed="false">
      <c r="A19" s="8" t="s">
        <v>25</v>
      </c>
      <c r="B19" s="9" t="s">
        <v>26</v>
      </c>
      <c r="C19" s="10" t="n">
        <f aca="false">'[10]Team Report'!BA37-5382</f>
        <v>139857</v>
      </c>
      <c r="E19" s="10" t="n">
        <f aca="false">(C19/9)*12</f>
        <v>186476</v>
      </c>
      <c r="G19" s="11" t="n">
        <f aca="false">E19/$E$23</f>
        <v>0.0737265019475711</v>
      </c>
    </row>
    <row r="20" customFormat="false" ht="12.75" hidden="false" customHeight="false" outlineLevel="0" collapsed="false">
      <c r="A20" s="8" t="s">
        <v>27</v>
      </c>
      <c r="B20" s="9" t="s">
        <v>28</v>
      </c>
      <c r="C20" s="10" t="n">
        <f aca="false">'[10]Team Report'!BA38-37</f>
        <v>-0.149999999999999</v>
      </c>
      <c r="E20" s="10" t="n">
        <f aca="false">(C20/9)*12</f>
        <v>-0.199999999999998</v>
      </c>
      <c r="G20" s="11" t="n">
        <f aca="false">E20/$E$23</f>
        <v>-7.9073448537689E-008</v>
      </c>
    </row>
    <row r="21" customFormat="false" ht="12.75" hidden="false" customHeight="false" outlineLevel="0" collapsed="false">
      <c r="A21" s="8" t="s">
        <v>29</v>
      </c>
      <c r="B21" s="9" t="s">
        <v>30</v>
      </c>
      <c r="C21" s="10" t="n">
        <f aca="false">'[10]Team Report'!BA42-126685-3093-668-51447-3258-25278-18900-C41</f>
        <v>379439.21</v>
      </c>
      <c r="E21" s="10" t="n">
        <f aca="false">(C21/9)*12</f>
        <v>505918.946666667</v>
      </c>
      <c r="G21" s="11" t="n">
        <f aca="false">E21/$E$23</f>
        <v>0.200023778967444</v>
      </c>
    </row>
    <row r="22" customFormat="false" ht="12.75" hidden="false" customHeight="false" outlineLevel="0" collapsed="false">
      <c r="A22" s="8" t="s">
        <v>31</v>
      </c>
      <c r="B22" s="9" t="s">
        <v>32</v>
      </c>
      <c r="C22" s="10" t="n">
        <f aca="false">'[10]Team Report'!BA44-101</f>
        <v>151.43</v>
      </c>
      <c r="E22" s="10" t="n">
        <f aca="false">(C22/9)*12</f>
        <v>201.906666666667</v>
      </c>
      <c r="G22" s="11" t="n">
        <f aca="false">E22/$E$23</f>
        <v>7.98272820804157E-005</v>
      </c>
    </row>
    <row r="23" customFormat="false" ht="12.75" hidden="false" customHeight="false" outlineLevel="0" collapsed="false">
      <c r="A23" s="12" t="s">
        <v>33</v>
      </c>
      <c r="B23" s="13" t="s">
        <v>34</v>
      </c>
      <c r="C23" s="14" t="n">
        <f aca="false">SUM(C8:C22)</f>
        <v>1934470.51</v>
      </c>
      <c r="E23" s="14" t="n">
        <f aca="false">SUM(E8:E22)</f>
        <v>2529294.01333333</v>
      </c>
      <c r="G23" s="15" t="n">
        <f aca="false">SUM(G8:G22)</f>
        <v>1</v>
      </c>
    </row>
    <row r="25" customFormat="false" ht="12.75" hidden="false" customHeight="false" outlineLevel="0" collapsed="false">
      <c r="B25" s="13" t="s">
        <v>35</v>
      </c>
      <c r="C25" s="10"/>
      <c r="E25" s="16" t="n">
        <v>5</v>
      </c>
    </row>
    <row r="26" customFormat="false" ht="12.75" hidden="false" customHeight="false" outlineLevel="0" collapsed="false">
      <c r="C26" s="10"/>
      <c r="E26" s="10"/>
    </row>
    <row r="27" customFormat="false" ht="12.75" hidden="false" customHeight="false" outlineLevel="0" collapsed="false">
      <c r="B27" s="13" t="s">
        <v>36</v>
      </c>
      <c r="C27" s="10"/>
      <c r="E27" s="16" t="n">
        <v>1</v>
      </c>
    </row>
    <row r="28" customFormat="false" ht="12.75" hidden="false" customHeight="false" outlineLevel="0" collapsed="false">
      <c r="B28" s="13"/>
      <c r="C28" s="10"/>
      <c r="E28" s="10"/>
    </row>
    <row r="29" customFormat="false" ht="12.75" hidden="false" customHeight="false" outlineLevel="0" collapsed="false">
      <c r="B29" s="13" t="s">
        <v>37</v>
      </c>
      <c r="C29" s="10"/>
      <c r="E29" s="16" t="n">
        <f aca="false">SUM(E25:E27)</f>
        <v>6</v>
      </c>
    </row>
    <row r="31" customFormat="false" ht="12.75" hidden="false" customHeight="false" outlineLevel="0" collapsed="false">
      <c r="A31" s="8" t="s">
        <v>38</v>
      </c>
      <c r="B31" s="9" t="s">
        <v>39</v>
      </c>
      <c r="C31" s="10" t="n">
        <f aca="false">'[10]Team Report'!BA29-47452</f>
        <v>53328.77</v>
      </c>
      <c r="E31" s="10" t="n">
        <f aca="false">(C31/9)*12</f>
        <v>71105.0266666667</v>
      </c>
    </row>
    <row r="32" customFormat="false" ht="12.75" hidden="false" customHeight="false" outlineLevel="0" collapsed="false">
      <c r="A32" s="8" t="s">
        <v>40</v>
      </c>
      <c r="B32" s="9" t="s">
        <v>41</v>
      </c>
      <c r="C32" s="10" t="n">
        <f aca="false">'[10]Team Report'!BA30</f>
        <v>0</v>
      </c>
      <c r="E32" s="10" t="n">
        <f aca="false">(C32/9)*12</f>
        <v>0</v>
      </c>
    </row>
    <row r="33" customFormat="false" ht="12.75" hidden="false" customHeight="false" outlineLevel="0" collapsed="false">
      <c r="A33" s="8" t="s">
        <v>42</v>
      </c>
      <c r="B33" s="9" t="s">
        <v>43</v>
      </c>
      <c r="C33" s="10" t="n">
        <f aca="false">'[10]Team Report'!BA31</f>
        <v>0</v>
      </c>
      <c r="E33" s="10" t="n">
        <f aca="false">(C33/9)*12</f>
        <v>0</v>
      </c>
    </row>
    <row r="34" customFormat="false" ht="12.75" hidden="false" customHeight="false" outlineLevel="0" collapsed="false">
      <c r="A34" s="8" t="s">
        <v>44</v>
      </c>
      <c r="B34" s="9" t="s">
        <v>45</v>
      </c>
      <c r="C34" s="10" t="n">
        <f aca="false">'[10]Team Report'!BA39</f>
        <v>1937996.74</v>
      </c>
      <c r="E34" s="10" t="n">
        <f aca="false">(C34/9)*12</f>
        <v>2583995.65333333</v>
      </c>
    </row>
    <row r="35" customFormat="false" ht="12.75" hidden="false" customHeight="false" outlineLevel="0" collapsed="false">
      <c r="A35" s="8" t="s">
        <v>46</v>
      </c>
      <c r="B35" s="9" t="s">
        <v>47</v>
      </c>
      <c r="C35" s="10" t="n">
        <f aca="false">'[10]Team Report'!BA40-3735</f>
        <v>1103990.43</v>
      </c>
      <c r="E35" s="10" t="n">
        <f aca="false">(C35/9)*12</f>
        <v>1471987.24</v>
      </c>
    </row>
    <row r="36" customFormat="false" ht="12.75" hidden="false" customHeight="false" outlineLevel="0" collapsed="false">
      <c r="A36" s="8" t="s">
        <v>48</v>
      </c>
      <c r="B36" s="9" t="s">
        <v>49</v>
      </c>
      <c r="C36" s="10" t="n">
        <f aca="false">'[10]Team Report'!BA41-42345</f>
        <v>337642.44</v>
      </c>
      <c r="E36" s="10" t="n">
        <f aca="false">(C36/9)*12</f>
        <v>450189.92</v>
      </c>
    </row>
    <row r="37" customFormat="false" ht="12.75" hidden="false" customHeight="false" outlineLevel="0" collapsed="false">
      <c r="A37" s="8" t="s">
        <v>50</v>
      </c>
      <c r="B37" s="9" t="s">
        <v>51</v>
      </c>
      <c r="C37" s="10" t="n">
        <f aca="false">'[10]Team Report'!BA43</f>
        <v>0</v>
      </c>
      <c r="E37" s="10" t="n">
        <f aca="false">(C37/9)*12</f>
        <v>0</v>
      </c>
    </row>
    <row r="38" customFormat="false" ht="12.75" hidden="false" customHeight="false" outlineLevel="0" collapsed="false">
      <c r="A38" s="8" t="s">
        <v>52</v>
      </c>
      <c r="B38" s="9" t="s">
        <v>53</v>
      </c>
      <c r="C38" s="10" t="n">
        <f aca="false">'[10]Team Report'!BA45</f>
        <v>26956</v>
      </c>
      <c r="E38" s="10" t="n">
        <f aca="false">(C38/9)*12</f>
        <v>35941.3333333333</v>
      </c>
    </row>
    <row r="39" customFormat="false" ht="12.75" hidden="false" customHeight="false" outlineLevel="0" collapsed="false">
      <c r="B39" s="9" t="s">
        <v>63</v>
      </c>
      <c r="C39" s="10" t="n">
        <v>2400317</v>
      </c>
      <c r="E39" s="10" t="n">
        <f aca="false">(C39/9)*12</f>
        <v>3200422.66666667</v>
      </c>
    </row>
    <row r="40" customFormat="false" ht="12.75" hidden="false" customHeight="false" outlineLevel="0" collapsed="false">
      <c r="B40" s="9" t="s">
        <v>64</v>
      </c>
      <c r="C40" s="10" t="n">
        <f aca="false">10458+7505+9080</f>
        <v>27043</v>
      </c>
      <c r="E40" s="10" t="n">
        <f aca="false">(C40/9)*12</f>
        <v>36057.3333333333</v>
      </c>
    </row>
    <row r="41" customFormat="false" ht="12.75" hidden="false" customHeight="false" outlineLevel="0" collapsed="false">
      <c r="B41" s="9" t="s">
        <v>65</v>
      </c>
      <c r="C41" s="10" t="n">
        <f aca="false">100000+24325+75000</f>
        <v>199325</v>
      </c>
      <c r="E41" s="10" t="n">
        <f aca="false">(C41/9)*12</f>
        <v>265766.666666667</v>
      </c>
    </row>
    <row r="42" customFormat="false" ht="12.75" hidden="false" customHeight="false" outlineLevel="0" collapsed="false">
      <c r="B42" s="9" t="s">
        <v>66</v>
      </c>
      <c r="C42" s="10" t="n">
        <f aca="false">70000+90000+100000+26600+32000+29881</f>
        <v>348481</v>
      </c>
      <c r="E42" s="10" t="n">
        <f aca="false">(C42/9)*12</f>
        <v>464641.333333333</v>
      </c>
    </row>
    <row r="43" customFormat="false" ht="12.75" hidden="false" customHeight="false" outlineLevel="0" collapsed="false">
      <c r="C43" s="10"/>
      <c r="E43" s="10"/>
    </row>
    <row r="45" customFormat="false" ht="12.75" hidden="false" customHeight="false" outlineLevel="0" collapsed="false">
      <c r="C45" s="18" t="n">
        <f aca="false">C23+C31+C32+C33+C34+C35+C36+C37+C38</f>
        <v>5394384.89</v>
      </c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: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25.13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56"/>
  </cols>
  <sheetData>
    <row r="1" customFormat="false" ht="18" hidden="false" customHeight="false" outlineLevel="0" collapsed="false">
      <c r="B1" s="1" t="str">
        <f aca="false">'[11]Team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tr">
        <f aca="false">'[11]Pull Sheet'!E9</f>
        <v>Structuring/Fundamentals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3" t="n">
        <f aca="false">'[11]Team Report'!B3</f>
        <v>37135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6" t="s">
        <v>1</v>
      </c>
    </row>
    <row r="7" customFormat="false" ht="12.75" hidden="false" customHeight="false" outlineLevel="0" collapsed="false">
      <c r="C7" s="7" t="s">
        <v>2</v>
      </c>
      <c r="E7" s="7" t="s">
        <v>3</v>
      </c>
      <c r="G7" s="6" t="s">
        <v>4</v>
      </c>
    </row>
    <row r="8" customFormat="false" ht="12.75" hidden="false" customHeight="false" outlineLevel="0" collapsed="false">
      <c r="A8" s="8" t="s">
        <v>5</v>
      </c>
      <c r="B8" s="9" t="s">
        <v>6</v>
      </c>
      <c r="C8" s="10" t="n">
        <f aca="false">'[11]Team Report'!BA25-C9-166000</f>
        <v>987140.56</v>
      </c>
      <c r="E8" s="10" t="n">
        <f aca="false">(C8/9)*12</f>
        <v>1316187.41333333</v>
      </c>
      <c r="G8" s="11" t="n">
        <f aca="false">E8/$E$23</f>
        <v>0.350541055163346</v>
      </c>
    </row>
    <row r="9" customFormat="false" ht="12.75" hidden="false" customHeight="false" outlineLevel="0" collapsed="false">
      <c r="A9" s="8"/>
      <c r="B9" s="9" t="s">
        <v>7</v>
      </c>
      <c r="C9" s="10" t="n">
        <v>95000</v>
      </c>
      <c r="E9" s="10" t="n">
        <f aca="false">C9</f>
        <v>95000</v>
      </c>
      <c r="G9" s="11" t="n">
        <f aca="false">E9/$E$23</f>
        <v>0.0253014121721312</v>
      </c>
    </row>
    <row r="10" customFormat="false" ht="12.75" hidden="false" customHeight="false" outlineLevel="0" collapsed="false">
      <c r="B10" s="9" t="s">
        <v>8</v>
      </c>
      <c r="C10" s="10" t="n">
        <f aca="false">166000+28656+514500+53454+14490</f>
        <v>777100</v>
      </c>
      <c r="E10" s="10" t="n">
        <f aca="false">(C10/9)*12</f>
        <v>1036133.33333333</v>
      </c>
      <c r="G10" s="11" t="n">
        <f aca="false">E10/$E$23</f>
        <v>0.275954068757378</v>
      </c>
    </row>
    <row r="11" customFormat="false" ht="12.75" hidden="false" customHeight="false" outlineLevel="0" collapsed="false">
      <c r="A11" s="8" t="s">
        <v>9</v>
      </c>
      <c r="B11" s="9" t="s">
        <v>10</v>
      </c>
      <c r="C11" s="10" t="n">
        <f aca="false">'[11]Team Report'!BA26-28656-14490</f>
        <v>233487.59</v>
      </c>
      <c r="E11" s="10" t="n">
        <f aca="false">(C11/9)*12</f>
        <v>311316.786666667</v>
      </c>
      <c r="G11" s="11" t="n">
        <f aca="false">E11/$E$23</f>
        <v>0.0829132035321766</v>
      </c>
    </row>
    <row r="12" customFormat="false" ht="12.75" hidden="false" customHeight="false" outlineLevel="0" collapsed="false">
      <c r="A12" s="8" t="s">
        <v>11</v>
      </c>
      <c r="B12" s="9" t="s">
        <v>12</v>
      </c>
      <c r="C12" s="10" t="n">
        <f aca="false">'[11]Team Report'!BA27</f>
        <v>140603.93</v>
      </c>
      <c r="E12" s="10" t="n">
        <f aca="false">(C12/9)*12</f>
        <v>187471.906666667</v>
      </c>
      <c r="G12" s="11" t="n">
        <f aca="false">E12/$E$23</f>
        <v>0.0499295155923015</v>
      </c>
    </row>
    <row r="13" customFormat="false" ht="12.75" hidden="false" customHeight="false" outlineLevel="0" collapsed="false">
      <c r="A13" s="8" t="s">
        <v>13</v>
      </c>
      <c r="B13" s="9" t="s">
        <v>14</v>
      </c>
      <c r="C13" s="10" t="n">
        <f aca="false">'[11]Team Report'!BA28</f>
        <v>78714.61</v>
      </c>
      <c r="E13" s="10" t="n">
        <f aca="false">(C13/9)*12</f>
        <v>104952.813333333</v>
      </c>
      <c r="G13" s="11" t="n">
        <f aca="false">E13/$E$23</f>
        <v>0.0279521514607517</v>
      </c>
    </row>
    <row r="14" customFormat="false" ht="12.75" hidden="false" customHeight="false" outlineLevel="0" collapsed="false">
      <c r="A14" s="8" t="s">
        <v>15</v>
      </c>
      <c r="B14" s="9" t="s">
        <v>16</v>
      </c>
      <c r="C14" s="10" t="n">
        <f aca="false">'[11]Team Report'!BA32-C40</f>
        <v>138341.62</v>
      </c>
      <c r="E14" s="10" t="n">
        <f aca="false">(C14/9)*12</f>
        <v>184455.493333333</v>
      </c>
      <c r="G14" s="11" t="n">
        <f aca="false">E14/$E$23</f>
        <v>0.0491261522551628</v>
      </c>
    </row>
    <row r="15" customFormat="false" ht="12.75" hidden="false" customHeight="false" outlineLevel="0" collapsed="false">
      <c r="A15" s="8" t="s">
        <v>17</v>
      </c>
      <c r="B15" s="9" t="s">
        <v>18</v>
      </c>
      <c r="C15" s="10" t="n">
        <f aca="false">'[11]Team Report'!BA33</f>
        <v>12308.9</v>
      </c>
      <c r="E15" s="10" t="n">
        <f aca="false">(C15/9)*12</f>
        <v>16411.8666666667</v>
      </c>
      <c r="G15" s="11" t="n">
        <f aca="false">E15/$E$23</f>
        <v>0.00437098318997257</v>
      </c>
    </row>
    <row r="16" customFormat="false" ht="12.75" hidden="false" customHeight="false" outlineLevel="0" collapsed="false">
      <c r="A16" s="8" t="s">
        <v>19</v>
      </c>
      <c r="B16" s="9" t="s">
        <v>20</v>
      </c>
      <c r="C16" s="10" t="n">
        <f aca="false">'[11]Team Report'!BA34</f>
        <v>0</v>
      </c>
      <c r="E16" s="10" t="n">
        <f aca="false">(C16/9)*12</f>
        <v>0</v>
      </c>
      <c r="G16" s="11" t="n">
        <f aca="false">E16/$E$23</f>
        <v>0</v>
      </c>
    </row>
    <row r="17" customFormat="false" ht="12.75" hidden="false" customHeight="false" outlineLevel="0" collapsed="false">
      <c r="A17" s="8" t="s">
        <v>21</v>
      </c>
      <c r="B17" s="9" t="s">
        <v>22</v>
      </c>
      <c r="C17" s="10" t="n">
        <f aca="false">'[11]Team Report'!BA35</f>
        <v>0</v>
      </c>
      <c r="E17" s="10" t="n">
        <f aca="false">(C17/9)*12</f>
        <v>0</v>
      </c>
      <c r="G17" s="11" t="n">
        <f aca="false">E17/$E$23</f>
        <v>0</v>
      </c>
    </row>
    <row r="18" customFormat="false" ht="12.75" hidden="false" customHeight="false" outlineLevel="0" collapsed="false">
      <c r="A18" s="8" t="s">
        <v>23</v>
      </c>
      <c r="B18" s="9" t="s">
        <v>24</v>
      </c>
      <c r="C18" s="10" t="n">
        <f aca="false">'[11]Team Report'!BA36</f>
        <v>0</v>
      </c>
      <c r="E18" s="10" t="n">
        <f aca="false">(C18/9)*12</f>
        <v>0</v>
      </c>
      <c r="G18" s="11" t="n">
        <f aca="false">E18/$E$23</f>
        <v>0</v>
      </c>
    </row>
    <row r="19" customFormat="false" ht="12.75" hidden="false" customHeight="false" outlineLevel="0" collapsed="false">
      <c r="A19" s="8" t="s">
        <v>25</v>
      </c>
      <c r="B19" s="9" t="s">
        <v>26</v>
      </c>
      <c r="C19" s="10" t="n">
        <f aca="false">'[11]Team Report'!BA37-C39</f>
        <v>180017.87</v>
      </c>
      <c r="E19" s="10" t="n">
        <f aca="false">(C19/9)*12</f>
        <v>240023.826666667</v>
      </c>
      <c r="G19" s="11" t="n">
        <f aca="false">E19/$E$23</f>
        <v>0.0639257028381633</v>
      </c>
    </row>
    <row r="20" customFormat="false" ht="12.75" hidden="false" customHeight="false" outlineLevel="0" collapsed="false">
      <c r="A20" s="8" t="s">
        <v>27</v>
      </c>
      <c r="B20" s="9" t="s">
        <v>28</v>
      </c>
      <c r="C20" s="10" t="n">
        <f aca="false">'[11]Team Report'!BA38</f>
        <v>40.01</v>
      </c>
      <c r="E20" s="10" t="n">
        <f aca="false">(C20/9)*12</f>
        <v>53.3466666666667</v>
      </c>
      <c r="G20" s="11" t="n">
        <f aca="false">E20/$E$23</f>
        <v>1.42078526457119E-005</v>
      </c>
    </row>
    <row r="21" customFormat="false" ht="12.75" hidden="false" customHeight="false" outlineLevel="0" collapsed="false">
      <c r="A21" s="8" t="s">
        <v>29</v>
      </c>
      <c r="B21" s="9" t="s">
        <v>30</v>
      </c>
      <c r="C21" s="10" t="n">
        <f aca="false">'[11]Team Report'!BA42-514500</f>
        <v>196871.17</v>
      </c>
      <c r="E21" s="10" t="n">
        <f aca="false">(C21/9)*12</f>
        <v>262494.893333333</v>
      </c>
      <c r="G21" s="11" t="n">
        <f aca="false">E21/$E$23</f>
        <v>0.0699104367295398</v>
      </c>
    </row>
    <row r="22" customFormat="false" ht="12.75" hidden="false" customHeight="false" outlineLevel="0" collapsed="false">
      <c r="A22" s="8" t="s">
        <v>31</v>
      </c>
      <c r="B22" s="9" t="s">
        <v>32</v>
      </c>
      <c r="C22" s="10" t="n">
        <f aca="false">'[11]Team Report'!BA44</f>
        <v>172.09</v>
      </c>
      <c r="E22" s="10" t="n">
        <f aca="false">(C22/9)*12</f>
        <v>229.453333333333</v>
      </c>
      <c r="G22" s="11" t="n">
        <f aca="false">E22/$E$23</f>
        <v>6.11104564309061E-005</v>
      </c>
    </row>
    <row r="23" customFormat="false" ht="12.75" hidden="false" customHeight="false" outlineLevel="0" collapsed="false">
      <c r="A23" s="12" t="s">
        <v>33</v>
      </c>
      <c r="B23" s="13" t="s">
        <v>34</v>
      </c>
      <c r="C23" s="14" t="n">
        <f aca="false">SUM(C8:C22)</f>
        <v>2839798.35</v>
      </c>
      <c r="E23" s="14" t="n">
        <f aca="false">SUM(E8:E22)</f>
        <v>3754731.13333333</v>
      </c>
      <c r="G23" s="15" t="n">
        <f aca="false">SUM(G8:G22)</f>
        <v>1</v>
      </c>
    </row>
    <row r="25" customFormat="false" ht="12.75" hidden="false" customHeight="false" outlineLevel="0" collapsed="false">
      <c r="B25" s="13" t="s">
        <v>35</v>
      </c>
      <c r="C25" s="10"/>
      <c r="E25" s="16" t="n">
        <v>15</v>
      </c>
    </row>
    <row r="26" customFormat="false" ht="12.75" hidden="false" customHeight="false" outlineLevel="0" collapsed="false">
      <c r="C26" s="10"/>
      <c r="E26" s="10"/>
    </row>
    <row r="27" customFormat="false" ht="12.75" hidden="false" customHeight="false" outlineLevel="0" collapsed="false">
      <c r="B27" s="13" t="s">
        <v>36</v>
      </c>
      <c r="C27" s="10"/>
      <c r="E27" s="16" t="n">
        <v>14</v>
      </c>
    </row>
    <row r="28" customFormat="false" ht="12.75" hidden="false" customHeight="false" outlineLevel="0" collapsed="false">
      <c r="B28" s="13"/>
      <c r="C28" s="10"/>
      <c r="E28" s="10"/>
    </row>
    <row r="29" customFormat="false" ht="12.75" hidden="false" customHeight="false" outlineLevel="0" collapsed="false">
      <c r="B29" s="13" t="s">
        <v>37</v>
      </c>
      <c r="C29" s="10"/>
      <c r="E29" s="16" t="n">
        <f aca="false">SUM(E25:E27)</f>
        <v>29</v>
      </c>
    </row>
    <row r="31" customFormat="false" ht="12.75" hidden="false" customHeight="false" outlineLevel="0" collapsed="false">
      <c r="A31" s="8" t="s">
        <v>38</v>
      </c>
      <c r="B31" s="9" t="s">
        <v>39</v>
      </c>
      <c r="C31" s="10" t="n">
        <f aca="false">'[11]Team Report'!BA29</f>
        <v>16676.94</v>
      </c>
      <c r="E31" s="10" t="n">
        <f aca="false">(C31/9)*12</f>
        <v>22235.92</v>
      </c>
    </row>
    <row r="32" customFormat="false" ht="12.75" hidden="false" customHeight="false" outlineLevel="0" collapsed="false">
      <c r="A32" s="8" t="s">
        <v>40</v>
      </c>
      <c r="B32" s="9" t="s">
        <v>41</v>
      </c>
      <c r="C32" s="10" t="n">
        <f aca="false">'[11]Team Report'!BA30</f>
        <v>0</v>
      </c>
      <c r="E32" s="10" t="n">
        <f aca="false">(C32/9)*12</f>
        <v>0</v>
      </c>
    </row>
    <row r="33" customFormat="false" ht="12.75" hidden="false" customHeight="false" outlineLevel="0" collapsed="false">
      <c r="A33" s="8" t="s">
        <v>42</v>
      </c>
      <c r="B33" s="9" t="s">
        <v>43</v>
      </c>
      <c r="C33" s="10" t="n">
        <f aca="false">'[11]Team Report'!BA31</f>
        <v>0</v>
      </c>
      <c r="E33" s="10" t="n">
        <f aca="false">(C33/9)*12</f>
        <v>0</v>
      </c>
    </row>
    <row r="34" customFormat="false" ht="12.75" hidden="false" customHeight="false" outlineLevel="0" collapsed="false">
      <c r="A34" s="8" t="s">
        <v>44</v>
      </c>
      <c r="B34" s="9" t="s">
        <v>45</v>
      </c>
      <c r="C34" s="10" t="n">
        <f aca="false">'[11]Team Report'!BA39</f>
        <v>0</v>
      </c>
      <c r="E34" s="10" t="n">
        <f aca="false">(C34/9)*12</f>
        <v>0</v>
      </c>
    </row>
    <row r="35" customFormat="false" ht="12.75" hidden="false" customHeight="false" outlineLevel="0" collapsed="false">
      <c r="A35" s="8" t="s">
        <v>46</v>
      </c>
      <c r="B35" s="9" t="s">
        <v>47</v>
      </c>
      <c r="C35" s="10" t="n">
        <f aca="false">'[11]Team Report'!BA40</f>
        <v>39888.63</v>
      </c>
      <c r="E35" s="10" t="n">
        <f aca="false">(C35/9)*12</f>
        <v>53184.84</v>
      </c>
    </row>
    <row r="36" customFormat="false" ht="12.75" hidden="false" customHeight="false" outlineLevel="0" collapsed="false">
      <c r="A36" s="8" t="s">
        <v>48</v>
      </c>
      <c r="B36" s="9" t="s">
        <v>49</v>
      </c>
      <c r="C36" s="10" t="n">
        <f aca="false">'[11]Team Report'!BA41</f>
        <v>110468.87</v>
      </c>
      <c r="E36" s="10" t="n">
        <f aca="false">(C36/9)*12</f>
        <v>147291.826666667</v>
      </c>
    </row>
    <row r="37" customFormat="false" ht="12.75" hidden="false" customHeight="false" outlineLevel="0" collapsed="false">
      <c r="A37" s="8" t="s">
        <v>50</v>
      </c>
      <c r="B37" s="9" t="s">
        <v>51</v>
      </c>
      <c r="C37" s="10" t="n">
        <f aca="false">'[11]Team Report'!BA43</f>
        <v>0</v>
      </c>
      <c r="E37" s="10" t="n">
        <f aca="false">(C37/9)*12</f>
        <v>0</v>
      </c>
    </row>
    <row r="38" customFormat="false" ht="12.75" hidden="false" customHeight="false" outlineLevel="0" collapsed="false">
      <c r="A38" s="8" t="s">
        <v>52</v>
      </c>
      <c r="B38" s="9" t="s">
        <v>53</v>
      </c>
      <c r="C38" s="10" t="n">
        <f aca="false">'[11]Team Report'!BA45</f>
        <v>0</v>
      </c>
      <c r="E38" s="10" t="n">
        <f aca="false">(C38/9)*12</f>
        <v>0</v>
      </c>
    </row>
    <row r="39" customFormat="false" ht="12.75" hidden="false" customHeight="false" outlineLevel="0" collapsed="false">
      <c r="B39" s="9" t="s">
        <v>67</v>
      </c>
      <c r="C39" s="10" t="n">
        <v>109134.67</v>
      </c>
      <c r="E39" s="10" t="n">
        <f aca="false">(C39/9)*12</f>
        <v>145512.893333333</v>
      </c>
    </row>
    <row r="40" customFormat="false" ht="12.75" hidden="false" customHeight="false" outlineLevel="0" collapsed="false">
      <c r="B40" s="9" t="s">
        <v>68</v>
      </c>
      <c r="C40" s="10" t="n">
        <v>891257</v>
      </c>
      <c r="E40" s="10" t="n">
        <f aca="false">(C40/9)*12</f>
        <v>1188342.66666667</v>
      </c>
    </row>
    <row r="41" customFormat="false" ht="12.75" hidden="false" customHeight="false" outlineLevel="0" collapsed="false">
      <c r="C41" s="10"/>
      <c r="E41" s="10"/>
    </row>
    <row r="42" customFormat="false" ht="12.75" hidden="false" customHeight="false" outlineLevel="0" collapsed="false">
      <c r="C42" s="10"/>
      <c r="E42" s="10"/>
    </row>
    <row r="44" customFormat="false" ht="12.75" hidden="false" customHeight="false" outlineLevel="0" collapsed="false">
      <c r="C44" s="18"/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: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15.85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84"/>
  </cols>
  <sheetData>
    <row r="1" customFormat="false" ht="18" hidden="false" customHeight="false" outlineLevel="0" collapsed="false">
      <c r="B1" s="1" t="str">
        <f aca="false">'[12]Team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tr">
        <f aca="false">'[12]Pull Sheet'!E9</f>
        <v>Services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3" t="n">
        <f aca="false">'[12]Team Report'!B3</f>
        <v>37135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6" t="s">
        <v>1</v>
      </c>
    </row>
    <row r="7" customFormat="false" ht="12.75" hidden="false" customHeight="false" outlineLevel="0" collapsed="false">
      <c r="C7" s="7" t="s">
        <v>2</v>
      </c>
      <c r="E7" s="7" t="s">
        <v>3</v>
      </c>
      <c r="G7" s="6" t="s">
        <v>4</v>
      </c>
    </row>
    <row r="8" customFormat="false" ht="12.75" hidden="false" customHeight="false" outlineLevel="0" collapsed="false">
      <c r="A8" s="8" t="s">
        <v>5</v>
      </c>
      <c r="B8" s="9" t="s">
        <v>6</v>
      </c>
      <c r="C8" s="10" t="n">
        <f aca="false">'[12]Team Report'!BA25</f>
        <v>197185.15</v>
      </c>
      <c r="E8" s="10" t="n">
        <f aca="false">(C8/9)*12</f>
        <v>262913.533333333</v>
      </c>
      <c r="G8" s="11" t="n">
        <f aca="false">E8/$E$23</f>
        <v>0.725097274969688</v>
      </c>
    </row>
    <row r="9" customFormat="false" ht="12.75" hidden="false" customHeight="false" outlineLevel="0" collapsed="false">
      <c r="A9" s="8"/>
      <c r="B9" s="9" t="s">
        <v>7</v>
      </c>
      <c r="C9" s="10" t="n">
        <v>0</v>
      </c>
      <c r="E9" s="10" t="n">
        <f aca="false">(C9/9)*12</f>
        <v>0</v>
      </c>
      <c r="G9" s="11" t="n">
        <f aca="false">E9/$E$23</f>
        <v>0</v>
      </c>
    </row>
    <row r="10" customFormat="false" ht="12.75" hidden="false" customHeight="false" outlineLevel="0" collapsed="false">
      <c r="B10" s="9" t="s">
        <v>8</v>
      </c>
      <c r="C10" s="10" t="n">
        <v>7800</v>
      </c>
      <c r="E10" s="10" t="n">
        <f aca="false">(C10/9)*12</f>
        <v>10400</v>
      </c>
      <c r="G10" s="11" t="n">
        <f aca="false">E10/$E$23</f>
        <v>0.0286824780910914</v>
      </c>
    </row>
    <row r="11" customFormat="false" ht="12.75" hidden="false" customHeight="false" outlineLevel="0" collapsed="false">
      <c r="A11" s="8" t="s">
        <v>9</v>
      </c>
      <c r="B11" s="9" t="s">
        <v>10</v>
      </c>
      <c r="C11" s="10" t="n">
        <f aca="false">'[12]Team Report'!BA26</f>
        <v>40348.02</v>
      </c>
      <c r="E11" s="10" t="n">
        <f aca="false">(C11/9)*12</f>
        <v>53797.36</v>
      </c>
      <c r="G11" s="11" t="n">
        <f aca="false">E11/$E$23</f>
        <v>0.148369384572938</v>
      </c>
    </row>
    <row r="12" customFormat="false" ht="12.75" hidden="false" customHeight="false" outlineLevel="0" collapsed="false">
      <c r="A12" s="8" t="s">
        <v>11</v>
      </c>
      <c r="B12" s="9" t="s">
        <v>12</v>
      </c>
      <c r="C12" s="10" t="n">
        <f aca="false">'[12]Team Report'!BA27</f>
        <v>11786.19</v>
      </c>
      <c r="E12" s="10" t="n">
        <f aca="false">(C12/9)*12</f>
        <v>15714.92</v>
      </c>
      <c r="G12" s="11" t="n">
        <f aca="false">E12/$E$23</f>
        <v>0.0433406585195436</v>
      </c>
    </row>
    <row r="13" customFormat="false" ht="12.75" hidden="false" customHeight="false" outlineLevel="0" collapsed="false">
      <c r="A13" s="8" t="s">
        <v>13</v>
      </c>
      <c r="B13" s="9" t="s">
        <v>14</v>
      </c>
      <c r="C13" s="10" t="n">
        <f aca="false">'[12]Team Report'!BA28</f>
        <v>13423</v>
      </c>
      <c r="E13" s="10" t="n">
        <f aca="false">(C13/9)*12</f>
        <v>17897.3333333333</v>
      </c>
      <c r="G13" s="11" t="n">
        <f aca="false">E13/$E$23</f>
        <v>0.0493596030021435</v>
      </c>
    </row>
    <row r="14" customFormat="false" ht="12.75" hidden="false" customHeight="false" outlineLevel="0" collapsed="false">
      <c r="A14" s="8" t="s">
        <v>15</v>
      </c>
      <c r="B14" s="9" t="s">
        <v>16</v>
      </c>
      <c r="C14" s="10" t="n">
        <f aca="false">'[12]Team Report'!BA32</f>
        <v>117.39</v>
      </c>
      <c r="E14" s="10" t="n">
        <f aca="false">(C14/9)*12</f>
        <v>156.52</v>
      </c>
      <c r="G14" s="11" t="n">
        <f aca="false">E14/$E$23</f>
        <v>0.000431671295270925</v>
      </c>
    </row>
    <row r="15" customFormat="false" ht="12.75" hidden="false" customHeight="false" outlineLevel="0" collapsed="false">
      <c r="A15" s="8" t="s">
        <v>17</v>
      </c>
      <c r="B15" s="9" t="s">
        <v>18</v>
      </c>
      <c r="C15" s="10" t="n">
        <f aca="false">'[12]Team Report'!BA33</f>
        <v>0</v>
      </c>
      <c r="E15" s="10" t="n">
        <f aca="false">(C15/9)*12</f>
        <v>0</v>
      </c>
      <c r="G15" s="11" t="n">
        <f aca="false">E15/$E$23</f>
        <v>0</v>
      </c>
    </row>
    <row r="16" customFormat="false" ht="12.75" hidden="false" customHeight="false" outlineLevel="0" collapsed="false">
      <c r="A16" s="8" t="s">
        <v>19</v>
      </c>
      <c r="B16" s="9" t="s">
        <v>20</v>
      </c>
      <c r="C16" s="10" t="n">
        <f aca="false">'[12]Team Report'!BA34</f>
        <v>0</v>
      </c>
      <c r="E16" s="10" t="n">
        <f aca="false">(C16/9)*12</f>
        <v>0</v>
      </c>
      <c r="G16" s="11" t="n">
        <f aca="false">E16/$E$23</f>
        <v>0</v>
      </c>
    </row>
    <row r="17" customFormat="false" ht="12.75" hidden="false" customHeight="false" outlineLevel="0" collapsed="false">
      <c r="A17" s="8" t="s">
        <v>21</v>
      </c>
      <c r="B17" s="9" t="s">
        <v>22</v>
      </c>
      <c r="C17" s="10" t="n">
        <f aca="false">'[12]Team Report'!BA35</f>
        <v>0</v>
      </c>
      <c r="E17" s="10" t="n">
        <f aca="false">(C17/9)*12</f>
        <v>0</v>
      </c>
      <c r="G17" s="11" t="n">
        <f aca="false">E17/$E$23</f>
        <v>0</v>
      </c>
    </row>
    <row r="18" customFormat="false" ht="12.75" hidden="false" customHeight="false" outlineLevel="0" collapsed="false">
      <c r="A18" s="8" t="s">
        <v>23</v>
      </c>
      <c r="B18" s="9" t="s">
        <v>24</v>
      </c>
      <c r="C18" s="10" t="n">
        <f aca="false">'[12]Team Report'!BA36</f>
        <v>0</v>
      </c>
      <c r="E18" s="10" t="n">
        <f aca="false">(C18/9)*12</f>
        <v>0</v>
      </c>
      <c r="G18" s="11" t="n">
        <f aca="false">E18/$E$23</f>
        <v>0</v>
      </c>
    </row>
    <row r="19" customFormat="false" ht="12.75" hidden="false" customHeight="false" outlineLevel="0" collapsed="false">
      <c r="A19" s="8" t="s">
        <v>25</v>
      </c>
      <c r="B19" s="9" t="s">
        <v>26</v>
      </c>
      <c r="C19" s="10" t="n">
        <f aca="false">'[12]Team Report'!BA37</f>
        <v>1247.28</v>
      </c>
      <c r="E19" s="10" t="n">
        <f aca="false">(C19/9)*12</f>
        <v>1663.04</v>
      </c>
      <c r="G19" s="11" t="n">
        <f aca="false">E19/$E$23</f>
        <v>0.00458654888121236</v>
      </c>
    </row>
    <row r="20" customFormat="false" ht="12.75" hidden="false" customHeight="false" outlineLevel="0" collapsed="false">
      <c r="A20" s="8" t="s">
        <v>27</v>
      </c>
      <c r="B20" s="9" t="s">
        <v>28</v>
      </c>
      <c r="C20" s="10" t="n">
        <f aca="false">'[12]Team Report'!BA38</f>
        <v>0</v>
      </c>
      <c r="E20" s="10" t="n">
        <f aca="false">(C20/9)*12</f>
        <v>0</v>
      </c>
      <c r="G20" s="11" t="n">
        <f aca="false">E20/$E$23</f>
        <v>0</v>
      </c>
    </row>
    <row r="21" customFormat="false" ht="12.75" hidden="false" customHeight="false" outlineLevel="0" collapsed="false">
      <c r="A21" s="8" t="s">
        <v>29</v>
      </c>
      <c r="B21" s="9" t="s">
        <v>30</v>
      </c>
      <c r="C21" s="10" t="n">
        <f aca="false">'[12]Team Report'!BA42-C10</f>
        <v>36</v>
      </c>
      <c r="E21" s="10" t="n">
        <f aca="false">(C21/9)*12</f>
        <v>48</v>
      </c>
      <c r="G21" s="11" t="n">
        <f aca="false">E21/$E$23</f>
        <v>0.000132380668112729</v>
      </c>
    </row>
    <row r="22" customFormat="false" ht="12.75" hidden="false" customHeight="false" outlineLevel="0" collapsed="false">
      <c r="A22" s="8" t="s">
        <v>31</v>
      </c>
      <c r="B22" s="9" t="s">
        <v>32</v>
      </c>
      <c r="C22" s="10" t="n">
        <f aca="false">'[12]Team Report'!BA44</f>
        <v>0</v>
      </c>
      <c r="E22" s="10" t="n">
        <f aca="false">(C22/9)*12</f>
        <v>0</v>
      </c>
      <c r="G22" s="11" t="n">
        <f aca="false">E22/$E$23</f>
        <v>0</v>
      </c>
    </row>
    <row r="23" customFormat="false" ht="12.75" hidden="false" customHeight="false" outlineLevel="0" collapsed="false">
      <c r="A23" s="12" t="s">
        <v>33</v>
      </c>
      <c r="B23" s="13" t="s">
        <v>34</v>
      </c>
      <c r="C23" s="14" t="n">
        <f aca="false">SUM(C8:C22)</f>
        <v>271943.03</v>
      </c>
      <c r="E23" s="14" t="n">
        <f aca="false">SUM(E8:E22)</f>
        <v>362590.706666667</v>
      </c>
      <c r="G23" s="15" t="n">
        <f aca="false">SUM(G8:G22)</f>
        <v>1</v>
      </c>
    </row>
    <row r="25" customFormat="false" ht="12.75" hidden="false" customHeight="false" outlineLevel="0" collapsed="false">
      <c r="B25" s="13" t="s">
        <v>35</v>
      </c>
      <c r="C25" s="10"/>
      <c r="E25" s="16" t="n">
        <v>6</v>
      </c>
    </row>
    <row r="26" customFormat="false" ht="12.75" hidden="false" customHeight="false" outlineLevel="0" collapsed="false">
      <c r="C26" s="10"/>
      <c r="E26" s="10"/>
    </row>
    <row r="27" customFormat="false" ht="12.75" hidden="false" customHeight="false" outlineLevel="0" collapsed="false">
      <c r="B27" s="13" t="s">
        <v>36</v>
      </c>
      <c r="C27" s="10"/>
      <c r="E27" s="16" t="n">
        <v>1</v>
      </c>
    </row>
    <row r="28" customFormat="false" ht="12.75" hidden="false" customHeight="false" outlineLevel="0" collapsed="false">
      <c r="B28" s="13"/>
      <c r="C28" s="10"/>
      <c r="E28" s="10"/>
    </row>
    <row r="29" customFormat="false" ht="12.75" hidden="false" customHeight="false" outlineLevel="0" collapsed="false">
      <c r="B29" s="13" t="s">
        <v>37</v>
      </c>
      <c r="C29" s="10"/>
      <c r="E29" s="16" t="n">
        <f aca="false">SUM(E25:E27)</f>
        <v>7</v>
      </c>
    </row>
    <row r="31" customFormat="false" ht="12.75" hidden="false" customHeight="false" outlineLevel="0" collapsed="false">
      <c r="A31" s="8" t="s">
        <v>38</v>
      </c>
      <c r="B31" s="9" t="s">
        <v>39</v>
      </c>
      <c r="C31" s="10" t="n">
        <f aca="false">'[12]Team Report'!BA29</f>
        <v>0</v>
      </c>
      <c r="E31" s="10" t="n">
        <f aca="false">(C31/9)*12</f>
        <v>0</v>
      </c>
    </row>
    <row r="32" customFormat="false" ht="12.75" hidden="false" customHeight="false" outlineLevel="0" collapsed="false">
      <c r="A32" s="8" t="s">
        <v>40</v>
      </c>
      <c r="B32" s="9" t="s">
        <v>41</v>
      </c>
      <c r="C32" s="10" t="n">
        <f aca="false">'[12]Team Report'!BA30</f>
        <v>0</v>
      </c>
      <c r="E32" s="10" t="n">
        <f aca="false">(C32/9)*12</f>
        <v>0</v>
      </c>
    </row>
    <row r="33" customFormat="false" ht="12.75" hidden="false" customHeight="false" outlineLevel="0" collapsed="false">
      <c r="A33" s="8" t="s">
        <v>42</v>
      </c>
      <c r="B33" s="9" t="s">
        <v>43</v>
      </c>
      <c r="C33" s="10" t="n">
        <f aca="false">'[12]Team Report'!BA31</f>
        <v>0</v>
      </c>
      <c r="E33" s="10" t="n">
        <f aca="false">(C33/9)*12</f>
        <v>0</v>
      </c>
    </row>
    <row r="34" customFormat="false" ht="12.75" hidden="false" customHeight="false" outlineLevel="0" collapsed="false">
      <c r="A34" s="8" t="s">
        <v>44</v>
      </c>
      <c r="B34" s="9" t="s">
        <v>45</v>
      </c>
      <c r="C34" s="10" t="n">
        <f aca="false">'[12]Team Report'!BA39</f>
        <v>0</v>
      </c>
      <c r="E34" s="10" t="n">
        <f aca="false">(C34/9)*12</f>
        <v>0</v>
      </c>
    </row>
    <row r="35" customFormat="false" ht="12.75" hidden="false" customHeight="false" outlineLevel="0" collapsed="false">
      <c r="A35" s="8" t="s">
        <v>46</v>
      </c>
      <c r="B35" s="9" t="s">
        <v>47</v>
      </c>
      <c r="C35" s="10" t="n">
        <f aca="false">'[12]Team Report'!BA40</f>
        <v>2458.82</v>
      </c>
      <c r="E35" s="10" t="n">
        <f aca="false">(C35/9)*12</f>
        <v>3278.42666666667</v>
      </c>
    </row>
    <row r="36" customFormat="false" ht="12.75" hidden="false" customHeight="false" outlineLevel="0" collapsed="false">
      <c r="A36" s="8" t="s">
        <v>48</v>
      </c>
      <c r="B36" s="9" t="s">
        <v>49</v>
      </c>
      <c r="C36" s="10" t="n">
        <f aca="false">'[12]Team Report'!BA41</f>
        <v>3601.8</v>
      </c>
      <c r="E36" s="10" t="n">
        <f aca="false">(C36/9)*12</f>
        <v>4802.4</v>
      </c>
    </row>
    <row r="37" customFormat="false" ht="12.75" hidden="false" customHeight="false" outlineLevel="0" collapsed="false">
      <c r="A37" s="8" t="s">
        <v>50</v>
      </c>
      <c r="B37" s="9" t="s">
        <v>51</v>
      </c>
      <c r="C37" s="10" t="n">
        <f aca="false">'[12]Team Report'!BA43</f>
        <v>0</v>
      </c>
      <c r="E37" s="10" t="n">
        <f aca="false">(C37/9)*12</f>
        <v>0</v>
      </c>
    </row>
    <row r="38" customFormat="false" ht="12.75" hidden="false" customHeight="false" outlineLevel="0" collapsed="false">
      <c r="A38" s="8" t="s">
        <v>52</v>
      </c>
      <c r="B38" s="9" t="s">
        <v>53</v>
      </c>
      <c r="C38" s="10" t="n">
        <f aca="false">'[12]Team Report'!BA45</f>
        <v>0</v>
      </c>
      <c r="E38" s="10" t="n">
        <f aca="false">(C38/9)*12</f>
        <v>0</v>
      </c>
    </row>
    <row r="39" customFormat="false" ht="12.75" hidden="false" customHeight="false" outlineLevel="0" collapsed="false">
      <c r="C39" s="10"/>
      <c r="E39" s="10"/>
    </row>
    <row r="40" customFormat="false" ht="12.75" hidden="false" customHeight="false" outlineLevel="0" collapsed="false">
      <c r="C40" s="10"/>
      <c r="E40" s="10"/>
    </row>
    <row r="43" customFormat="false" ht="12.75" hidden="false" customHeight="false" outlineLevel="0" collapsed="false">
      <c r="C43" s="18" t="n">
        <f aca="false">C23+C31+C32+C33+C34+C35+C36+C37+C38</f>
        <v>278003.65</v>
      </c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: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99"/>
    <col collapsed="false" customWidth="true" hidden="false" outlineLevel="0" max="3" min="3" style="0" width="15.85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42"/>
  </cols>
  <sheetData>
    <row r="1" customFormat="false" ht="18" hidden="false" customHeight="false" outlineLevel="0" collapsed="false">
      <c r="B1" s="1" t="str">
        <f aca="false">'[13]Team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tr">
        <f aca="false">'[13]Pull Sheet'!E9</f>
        <v>Options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3" t="n">
        <f aca="false">'[13]Team Report'!B3</f>
        <v>37135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6" t="s">
        <v>1</v>
      </c>
    </row>
    <row r="7" customFormat="false" ht="12.75" hidden="false" customHeight="false" outlineLevel="0" collapsed="false">
      <c r="C7" s="7" t="s">
        <v>2</v>
      </c>
      <c r="E7" s="7" t="s">
        <v>3</v>
      </c>
      <c r="G7" s="6" t="s">
        <v>4</v>
      </c>
    </row>
    <row r="8" customFormat="false" ht="12.75" hidden="false" customHeight="false" outlineLevel="0" collapsed="false">
      <c r="A8" s="8" t="s">
        <v>5</v>
      </c>
      <c r="B8" s="9" t="s">
        <v>6</v>
      </c>
      <c r="C8" s="10" t="n">
        <f aca="false">'[13]Team Report'!BA25-C9-10000</f>
        <v>210626.89</v>
      </c>
      <c r="E8" s="10" t="n">
        <f aca="false">(C8/9)*12</f>
        <v>280835.853333333</v>
      </c>
      <c r="G8" s="11" t="n">
        <f aca="false">E8/$E$23</f>
        <v>0.493049290488247</v>
      </c>
    </row>
    <row r="9" customFormat="false" ht="12.75" hidden="false" customHeight="false" outlineLevel="0" collapsed="false">
      <c r="A9" s="8"/>
      <c r="B9" s="9" t="s">
        <v>7</v>
      </c>
      <c r="C9" s="10" t="n">
        <v>115000</v>
      </c>
      <c r="E9" s="10" t="n">
        <f aca="false">C9</f>
        <v>115000</v>
      </c>
      <c r="G9" s="11" t="n">
        <f aca="false">E9/$E$23</f>
        <v>0.201899678168402</v>
      </c>
    </row>
    <row r="10" customFormat="false" ht="12.75" hidden="false" customHeight="false" outlineLevel="0" collapsed="false">
      <c r="B10" s="9" t="s">
        <v>8</v>
      </c>
      <c r="C10" s="10" t="n">
        <f aca="false">10000+1548+44800+2532+720</f>
        <v>59600</v>
      </c>
      <c r="E10" s="10" t="n">
        <f aca="false">(C10/9)*12</f>
        <v>79466.6666666667</v>
      </c>
      <c r="G10" s="11" t="n">
        <f aca="false">E10/$E$23</f>
        <v>0.139515603696658</v>
      </c>
    </row>
    <row r="11" customFormat="false" ht="12.75" hidden="false" customHeight="false" outlineLevel="0" collapsed="false">
      <c r="A11" s="8" t="s">
        <v>9</v>
      </c>
      <c r="B11" s="9" t="s">
        <v>10</v>
      </c>
      <c r="C11" s="10" t="n">
        <f aca="false">'[13]Team Report'!BA26-1548-720</f>
        <v>45326.11</v>
      </c>
      <c r="E11" s="10" t="n">
        <f aca="false">(C11/9)*12</f>
        <v>60434.8133333333</v>
      </c>
      <c r="G11" s="11" t="n">
        <f aca="false">E11/$E$23</f>
        <v>0.106102342279717</v>
      </c>
    </row>
    <row r="12" customFormat="false" ht="12.75" hidden="false" customHeight="false" outlineLevel="0" collapsed="false">
      <c r="A12" s="8" t="s">
        <v>11</v>
      </c>
      <c r="B12" s="9" t="s">
        <v>12</v>
      </c>
      <c r="C12" s="10" t="n">
        <f aca="false">'[13]Team Report'!BA27</f>
        <v>6351.68</v>
      </c>
      <c r="E12" s="10" t="n">
        <f aca="false">(C12/9)*12</f>
        <v>8468.90666666667</v>
      </c>
      <c r="G12" s="11" t="n">
        <f aca="false">E12/$E$23</f>
        <v>0.0148684306994629</v>
      </c>
    </row>
    <row r="13" customFormat="false" ht="12.75" hidden="false" customHeight="false" outlineLevel="0" collapsed="false">
      <c r="A13" s="8" t="s">
        <v>13</v>
      </c>
      <c r="B13" s="9" t="s">
        <v>14</v>
      </c>
      <c r="C13" s="10" t="n">
        <f aca="false">'[13]Team Report'!BA28</f>
        <v>16883.02</v>
      </c>
      <c r="E13" s="10" t="n">
        <f aca="false">(C13/9)*12</f>
        <v>22510.6933333333</v>
      </c>
      <c r="G13" s="11" t="n">
        <f aca="false">E13/$E$23</f>
        <v>0.039520884689979</v>
      </c>
    </row>
    <row r="14" customFormat="false" ht="12.75" hidden="false" customHeight="false" outlineLevel="0" collapsed="false">
      <c r="A14" s="8" t="s">
        <v>15</v>
      </c>
      <c r="B14" s="9" t="s">
        <v>16</v>
      </c>
      <c r="C14" s="10" t="n">
        <f aca="false">'[13]Team Report'!BA32</f>
        <v>0</v>
      </c>
      <c r="E14" s="10" t="n">
        <f aca="false">(C14/9)*12</f>
        <v>0</v>
      </c>
      <c r="G14" s="11" t="n">
        <f aca="false">E14/$E$23</f>
        <v>0</v>
      </c>
    </row>
    <row r="15" customFormat="false" ht="12.75" hidden="false" customHeight="false" outlineLevel="0" collapsed="false">
      <c r="A15" s="8" t="s">
        <v>17</v>
      </c>
      <c r="B15" s="9" t="s">
        <v>18</v>
      </c>
      <c r="C15" s="10" t="n">
        <f aca="false">'[13]Team Report'!BA33</f>
        <v>632.9</v>
      </c>
      <c r="E15" s="10" t="n">
        <f aca="false">(C15/9)*12</f>
        <v>843.866666666667</v>
      </c>
      <c r="G15" s="11" t="n">
        <f aca="false">E15/$E$23</f>
        <v>0.00148153398623515</v>
      </c>
    </row>
    <row r="16" customFormat="false" ht="12.75" hidden="false" customHeight="false" outlineLevel="0" collapsed="false">
      <c r="A16" s="8" t="s">
        <v>19</v>
      </c>
      <c r="B16" s="9" t="s">
        <v>20</v>
      </c>
      <c r="C16" s="10" t="n">
        <f aca="false">'[13]Team Report'!BA34</f>
        <v>0</v>
      </c>
      <c r="E16" s="10" t="n">
        <f aca="false">(C16/9)*12</f>
        <v>0</v>
      </c>
      <c r="G16" s="11" t="n">
        <f aca="false">E16/$E$23</f>
        <v>0</v>
      </c>
    </row>
    <row r="17" customFormat="false" ht="12.75" hidden="false" customHeight="false" outlineLevel="0" collapsed="false">
      <c r="A17" s="8" t="s">
        <v>21</v>
      </c>
      <c r="B17" s="9" t="s">
        <v>22</v>
      </c>
      <c r="C17" s="10" t="n">
        <f aca="false">'[13]Team Report'!BA35</f>
        <v>0</v>
      </c>
      <c r="E17" s="10" t="n">
        <f aca="false">(C17/9)*12</f>
        <v>0</v>
      </c>
      <c r="G17" s="11" t="n">
        <f aca="false">E17/$E$23</f>
        <v>0</v>
      </c>
    </row>
    <row r="18" customFormat="false" ht="12.75" hidden="false" customHeight="false" outlineLevel="0" collapsed="false">
      <c r="A18" s="8" t="s">
        <v>23</v>
      </c>
      <c r="B18" s="9" t="s">
        <v>24</v>
      </c>
      <c r="C18" s="10" t="n">
        <f aca="false">'[13]Team Report'!BA36</f>
        <v>0</v>
      </c>
      <c r="E18" s="10" t="n">
        <f aca="false">(C18/9)*12</f>
        <v>0</v>
      </c>
      <c r="G18" s="11" t="n">
        <f aca="false">E18/$E$23</f>
        <v>0</v>
      </c>
    </row>
    <row r="19" customFormat="false" ht="12.75" hidden="false" customHeight="false" outlineLevel="0" collapsed="false">
      <c r="A19" s="8" t="s">
        <v>25</v>
      </c>
      <c r="B19" s="9" t="s">
        <v>26</v>
      </c>
      <c r="C19" s="10" t="n">
        <f aca="false">'[13]Team Report'!BA37</f>
        <v>238.97</v>
      </c>
      <c r="E19" s="10" t="n">
        <f aca="false">(C19/9)*12</f>
        <v>318.626666666667</v>
      </c>
      <c r="G19" s="11" t="n">
        <f aca="false">E19/$E$23</f>
        <v>0.000559396708311918</v>
      </c>
    </row>
    <row r="20" customFormat="false" ht="12.75" hidden="false" customHeight="false" outlineLevel="0" collapsed="false">
      <c r="A20" s="8" t="s">
        <v>27</v>
      </c>
      <c r="B20" s="9" t="s">
        <v>28</v>
      </c>
      <c r="C20" s="10" t="n">
        <f aca="false">'[13]Team Report'!BA38</f>
        <v>0</v>
      </c>
      <c r="E20" s="10" t="n">
        <f aca="false">(C20/9)*12</f>
        <v>0</v>
      </c>
      <c r="G20" s="11" t="n">
        <f aca="false">E20/$E$23</f>
        <v>0</v>
      </c>
    </row>
    <row r="21" customFormat="false" ht="12.75" hidden="false" customHeight="false" outlineLevel="0" collapsed="false">
      <c r="A21" s="8" t="s">
        <v>29</v>
      </c>
      <c r="B21" s="9" t="s">
        <v>30</v>
      </c>
      <c r="C21" s="10" t="n">
        <f aca="false">'[13]Team Report'!BA42-44800-2532</f>
        <v>1282.79</v>
      </c>
      <c r="E21" s="10" t="n">
        <f aca="false">(C21/9)*12</f>
        <v>1710.38666666667</v>
      </c>
      <c r="G21" s="11" t="n">
        <f aca="false">E21/$E$23</f>
        <v>0.00300283928298718</v>
      </c>
    </row>
    <row r="22" customFormat="false" ht="12.75" hidden="false" customHeight="false" outlineLevel="0" collapsed="false">
      <c r="A22" s="8" t="s">
        <v>31</v>
      </c>
      <c r="B22" s="9" t="s">
        <v>32</v>
      </c>
      <c r="C22" s="10" t="n">
        <f aca="false">'[13]Team Report'!BA44</f>
        <v>0</v>
      </c>
      <c r="E22" s="10" t="n">
        <f aca="false">(C22/9)*12</f>
        <v>0</v>
      </c>
      <c r="G22" s="11" t="n">
        <f aca="false">E22/$E$23</f>
        <v>0</v>
      </c>
    </row>
    <row r="23" customFormat="false" ht="12.75" hidden="false" customHeight="false" outlineLevel="0" collapsed="false">
      <c r="A23" s="12" t="s">
        <v>33</v>
      </c>
      <c r="B23" s="13" t="s">
        <v>34</v>
      </c>
      <c r="C23" s="14" t="n">
        <f aca="false">SUM(C8:C22)</f>
        <v>455942.36</v>
      </c>
      <c r="E23" s="14" t="n">
        <f aca="false">SUM(E8:E22)</f>
        <v>569589.813333334</v>
      </c>
      <c r="G23" s="15" t="n">
        <f aca="false">SUM(G8:G22)</f>
        <v>1</v>
      </c>
    </row>
    <row r="25" customFormat="false" ht="12.75" hidden="false" customHeight="false" outlineLevel="0" collapsed="false">
      <c r="B25" s="13" t="s">
        <v>35</v>
      </c>
      <c r="C25" s="10"/>
      <c r="E25" s="16" t="n">
        <v>4</v>
      </c>
    </row>
    <row r="26" customFormat="false" ht="12.75" hidden="false" customHeight="false" outlineLevel="0" collapsed="false">
      <c r="C26" s="10"/>
      <c r="E26" s="10"/>
    </row>
    <row r="27" customFormat="false" ht="12.75" hidden="false" customHeight="false" outlineLevel="0" collapsed="false">
      <c r="B27" s="13" t="s">
        <v>36</v>
      </c>
      <c r="C27" s="10"/>
      <c r="E27" s="16" t="n">
        <v>1</v>
      </c>
    </row>
    <row r="28" customFormat="false" ht="12.75" hidden="false" customHeight="false" outlineLevel="0" collapsed="false">
      <c r="B28" s="13"/>
      <c r="C28" s="10"/>
      <c r="E28" s="10"/>
    </row>
    <row r="29" customFormat="false" ht="12.75" hidden="false" customHeight="false" outlineLevel="0" collapsed="false">
      <c r="B29" s="13" t="s">
        <v>37</v>
      </c>
      <c r="C29" s="10"/>
      <c r="E29" s="16" t="n">
        <f aca="false">SUM(E25:E27)</f>
        <v>5</v>
      </c>
    </row>
    <row r="31" customFormat="false" ht="12.75" hidden="false" customHeight="false" outlineLevel="0" collapsed="false">
      <c r="A31" s="8" t="s">
        <v>38</v>
      </c>
      <c r="B31" s="9" t="s">
        <v>39</v>
      </c>
      <c r="C31" s="10" t="n">
        <f aca="false">'[13]Team Report'!BA29</f>
        <v>0</v>
      </c>
      <c r="E31" s="10" t="n">
        <f aca="false">(C31/9)*12</f>
        <v>0</v>
      </c>
    </row>
    <row r="32" customFormat="false" ht="12.75" hidden="false" customHeight="false" outlineLevel="0" collapsed="false">
      <c r="A32" s="8" t="s">
        <v>40</v>
      </c>
      <c r="B32" s="9" t="s">
        <v>41</v>
      </c>
      <c r="C32" s="10" t="n">
        <f aca="false">'[13]Team Report'!BA30</f>
        <v>0</v>
      </c>
      <c r="E32" s="10" t="n">
        <f aca="false">(C32/9)*12</f>
        <v>0</v>
      </c>
    </row>
    <row r="33" customFormat="false" ht="12.75" hidden="false" customHeight="false" outlineLevel="0" collapsed="false">
      <c r="A33" s="8" t="s">
        <v>42</v>
      </c>
      <c r="B33" s="9" t="s">
        <v>43</v>
      </c>
      <c r="C33" s="10" t="n">
        <f aca="false">'[13]Team Report'!BA31</f>
        <v>0</v>
      </c>
      <c r="E33" s="10" t="n">
        <f aca="false">(C33/9)*12</f>
        <v>0</v>
      </c>
    </row>
    <row r="34" customFormat="false" ht="12.75" hidden="false" customHeight="false" outlineLevel="0" collapsed="false">
      <c r="A34" s="8" t="s">
        <v>44</v>
      </c>
      <c r="B34" s="9" t="s">
        <v>45</v>
      </c>
      <c r="C34" s="10" t="n">
        <f aca="false">'[13]Team Report'!BA39</f>
        <v>0</v>
      </c>
      <c r="E34" s="10" t="n">
        <f aca="false">(C34/9)*12</f>
        <v>0</v>
      </c>
    </row>
    <row r="35" customFormat="false" ht="12.75" hidden="false" customHeight="false" outlineLevel="0" collapsed="false">
      <c r="A35" s="8" t="s">
        <v>46</v>
      </c>
      <c r="B35" s="9" t="s">
        <v>47</v>
      </c>
      <c r="C35" s="10" t="n">
        <f aca="false">'[13]Team Report'!BA40</f>
        <v>17872.72</v>
      </c>
      <c r="E35" s="10" t="n">
        <f aca="false">(C35/9)*12</f>
        <v>23830.2933333333</v>
      </c>
    </row>
    <row r="36" customFormat="false" ht="12.75" hidden="false" customHeight="false" outlineLevel="0" collapsed="false">
      <c r="A36" s="8" t="s">
        <v>48</v>
      </c>
      <c r="B36" s="9" t="s">
        <v>49</v>
      </c>
      <c r="C36" s="10" t="n">
        <f aca="false">'[13]Team Report'!BA41</f>
        <v>5293.28</v>
      </c>
      <c r="E36" s="10" t="n">
        <f aca="false">(C36/9)*12</f>
        <v>7057.70666666667</v>
      </c>
    </row>
    <row r="37" customFormat="false" ht="12.75" hidden="false" customHeight="false" outlineLevel="0" collapsed="false">
      <c r="A37" s="8" t="s">
        <v>50</v>
      </c>
      <c r="B37" s="9" t="s">
        <v>51</v>
      </c>
      <c r="C37" s="10" t="n">
        <f aca="false">'[13]Team Report'!BA43</f>
        <v>0</v>
      </c>
      <c r="E37" s="10" t="n">
        <f aca="false">(C37/9)*12</f>
        <v>0</v>
      </c>
    </row>
    <row r="38" customFormat="false" ht="12.75" hidden="false" customHeight="false" outlineLevel="0" collapsed="false">
      <c r="A38" s="8" t="s">
        <v>52</v>
      </c>
      <c r="B38" s="9" t="s">
        <v>53</v>
      </c>
      <c r="C38" s="10" t="n">
        <f aca="false">'[13]Team Report'!BA45</f>
        <v>0</v>
      </c>
      <c r="E38" s="10" t="n">
        <f aca="false">(C38/9)*12</f>
        <v>0</v>
      </c>
    </row>
    <row r="43" customFormat="false" ht="12.75" hidden="false" customHeight="false" outlineLevel="0" collapsed="false">
      <c r="C43" s="18" t="n">
        <f aca="false">C23+C31+C32+C33+C34+C35+C36+C37+C38</f>
        <v>479108.36</v>
      </c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: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41"/>
    <col collapsed="false" customWidth="true" hidden="false" outlineLevel="0" max="3" min="3" style="0" width="15.85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56"/>
  </cols>
  <sheetData>
    <row r="1" customFormat="false" ht="18" hidden="false" customHeight="false" outlineLevel="0" collapsed="false">
      <c r="B1" s="1" t="str">
        <f aca="false">'[2]Team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tr">
        <f aca="false">'[2]Pull Sheet'!E9</f>
        <v>Ercot Trading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3" t="n">
        <f aca="false">'[2]Team Report'!B3</f>
        <v>37135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6" t="s">
        <v>1</v>
      </c>
    </row>
    <row r="7" customFormat="false" ht="12.75" hidden="false" customHeight="false" outlineLevel="0" collapsed="false">
      <c r="C7" s="7" t="s">
        <v>2</v>
      </c>
      <c r="E7" s="7" t="s">
        <v>3</v>
      </c>
      <c r="G7" s="6" t="s">
        <v>4</v>
      </c>
    </row>
    <row r="8" customFormat="false" ht="12.75" hidden="false" customHeight="false" outlineLevel="0" collapsed="false">
      <c r="A8" s="8" t="s">
        <v>5</v>
      </c>
      <c r="B8" s="9" t="s">
        <v>6</v>
      </c>
      <c r="C8" s="10" t="n">
        <f aca="false">'[2]Team Report'!BA25-C9-21000</f>
        <v>435566.23</v>
      </c>
      <c r="E8" s="10" t="n">
        <f aca="false">(C8/9)*12</f>
        <v>580754.973333334</v>
      </c>
      <c r="G8" s="11" t="n">
        <f aca="false">E8/$E$23</f>
        <v>0.522677884968518</v>
      </c>
    </row>
    <row r="9" customFormat="false" ht="12.75" hidden="false" customHeight="false" outlineLevel="0" collapsed="false">
      <c r="A9" s="8"/>
      <c r="B9" s="9" t="s">
        <v>7</v>
      </c>
      <c r="C9" s="10" t="n">
        <v>57500</v>
      </c>
      <c r="E9" s="10" t="n">
        <f aca="false">C9</f>
        <v>57500</v>
      </c>
      <c r="G9" s="11" t="n">
        <f aca="false">E9/$E$23</f>
        <v>0.0517498424734795</v>
      </c>
    </row>
    <row r="10" customFormat="false" ht="12.75" hidden="false" customHeight="false" outlineLevel="0" collapsed="false">
      <c r="B10" s="9" t="s">
        <v>8</v>
      </c>
      <c r="C10" s="10" t="n">
        <f aca="false">21000+3870+103200+6330+1800</f>
        <v>136200</v>
      </c>
      <c r="E10" s="10" t="n">
        <f aca="false">(C10/9)*12</f>
        <v>181600</v>
      </c>
      <c r="G10" s="11" t="n">
        <f aca="false">E10/$E$23</f>
        <v>0.163439502490154</v>
      </c>
    </row>
    <row r="11" customFormat="false" ht="12.75" hidden="false" customHeight="false" outlineLevel="0" collapsed="false">
      <c r="A11" s="8" t="s">
        <v>9</v>
      </c>
      <c r="B11" s="9" t="s">
        <v>10</v>
      </c>
      <c r="C11" s="10" t="n">
        <f aca="false">'[2]Team Report'!BA26-3870-1800</f>
        <v>96245.64</v>
      </c>
      <c r="E11" s="10" t="n">
        <f aca="false">(C11/9)*12</f>
        <v>128327.52</v>
      </c>
      <c r="G11" s="11" t="n">
        <f aca="false">E11/$E$23</f>
        <v>0.115494416434996</v>
      </c>
    </row>
    <row r="12" customFormat="false" ht="12.75" hidden="false" customHeight="false" outlineLevel="0" collapsed="false">
      <c r="A12" s="8" t="s">
        <v>11</v>
      </c>
      <c r="B12" s="9" t="s">
        <v>12</v>
      </c>
      <c r="C12" s="10" t="n">
        <f aca="false">'[2]Team Report'!BA27</f>
        <v>35923.87</v>
      </c>
      <c r="E12" s="10" t="n">
        <f aca="false">(C12/9)*12</f>
        <v>47898.4933333333</v>
      </c>
      <c r="G12" s="11" t="n">
        <f aca="false">E12/$E$23</f>
        <v>0.0431085127776871</v>
      </c>
    </row>
    <row r="13" customFormat="false" ht="12.75" hidden="false" customHeight="false" outlineLevel="0" collapsed="false">
      <c r="A13" s="8" t="s">
        <v>13</v>
      </c>
      <c r="B13" s="9" t="s">
        <v>14</v>
      </c>
      <c r="C13" s="10" t="n">
        <f aca="false">'[2]Team Report'!BA28</f>
        <v>15703.86</v>
      </c>
      <c r="E13" s="10" t="n">
        <f aca="false">(C13/9)*12</f>
        <v>20938.48</v>
      </c>
      <c r="G13" s="11" t="n">
        <f aca="false">E13/$E$23</f>
        <v>0.0188445746371148</v>
      </c>
    </row>
    <row r="14" customFormat="false" ht="12.75" hidden="false" customHeight="false" outlineLevel="0" collapsed="false">
      <c r="A14" s="8" t="s">
        <v>15</v>
      </c>
      <c r="B14" s="9" t="s">
        <v>16</v>
      </c>
      <c r="C14" s="10" t="n">
        <f aca="false">'[2]Team Report'!BA32</f>
        <v>0</v>
      </c>
      <c r="E14" s="10" t="n">
        <f aca="false">(C14/9)*12</f>
        <v>0</v>
      </c>
      <c r="G14" s="11" t="n">
        <f aca="false">E14/$E$23</f>
        <v>0</v>
      </c>
    </row>
    <row r="15" customFormat="false" ht="12.75" hidden="false" customHeight="false" outlineLevel="0" collapsed="false">
      <c r="A15" s="8" t="s">
        <v>17</v>
      </c>
      <c r="B15" s="9" t="s">
        <v>18</v>
      </c>
      <c r="C15" s="10" t="n">
        <f aca="false">'[2]Team Report'!BA33</f>
        <v>6868.09</v>
      </c>
      <c r="E15" s="10" t="n">
        <f aca="false">(C15/9)*12</f>
        <v>9157.45333333333</v>
      </c>
      <c r="G15" s="11" t="n">
        <f aca="false">E15/$E$23</f>
        <v>0.00824168291231721</v>
      </c>
    </row>
    <row r="16" customFormat="false" ht="12.75" hidden="false" customHeight="false" outlineLevel="0" collapsed="false">
      <c r="A16" s="8" t="s">
        <v>19</v>
      </c>
      <c r="B16" s="9" t="s">
        <v>20</v>
      </c>
      <c r="C16" s="10" t="n">
        <f aca="false">'[2]Team Report'!BA34</f>
        <v>0</v>
      </c>
      <c r="E16" s="10" t="n">
        <f aca="false">(C16/9)*12</f>
        <v>0</v>
      </c>
      <c r="G16" s="11" t="n">
        <f aca="false">E16/$E$23</f>
        <v>0</v>
      </c>
    </row>
    <row r="17" customFormat="false" ht="12.75" hidden="false" customHeight="false" outlineLevel="0" collapsed="false">
      <c r="A17" s="8" t="s">
        <v>21</v>
      </c>
      <c r="B17" s="9" t="s">
        <v>22</v>
      </c>
      <c r="C17" s="10" t="n">
        <f aca="false">'[2]Team Report'!BA35</f>
        <v>0</v>
      </c>
      <c r="E17" s="10" t="n">
        <f aca="false">(C17/9)*12</f>
        <v>0</v>
      </c>
      <c r="G17" s="11" t="n">
        <f aca="false">E17/$E$23</f>
        <v>0</v>
      </c>
    </row>
    <row r="18" customFormat="false" ht="12.75" hidden="false" customHeight="false" outlineLevel="0" collapsed="false">
      <c r="A18" s="8" t="s">
        <v>23</v>
      </c>
      <c r="B18" s="9" t="s">
        <v>24</v>
      </c>
      <c r="C18" s="10" t="n">
        <f aca="false">'[2]Team Report'!BA36</f>
        <v>0</v>
      </c>
      <c r="E18" s="10" t="n">
        <f aca="false">(C18/9)*12</f>
        <v>0</v>
      </c>
      <c r="G18" s="11" t="n">
        <f aca="false">E18/$E$23</f>
        <v>0</v>
      </c>
    </row>
    <row r="19" customFormat="false" ht="12.75" hidden="false" customHeight="false" outlineLevel="0" collapsed="false">
      <c r="A19" s="8" t="s">
        <v>25</v>
      </c>
      <c r="B19" s="9" t="s">
        <v>26</v>
      </c>
      <c r="C19" s="10" t="n">
        <f aca="false">'[2]Team Report'!BA37-C39</f>
        <v>63424.47</v>
      </c>
      <c r="E19" s="10" t="n">
        <f aca="false">(C19/9)*12</f>
        <v>84565.96</v>
      </c>
      <c r="G19" s="11" t="n">
        <f aca="false">E19/$E$23</f>
        <v>0.0761091323238012</v>
      </c>
    </row>
    <row r="20" customFormat="false" ht="12.75" hidden="false" customHeight="false" outlineLevel="0" collapsed="false">
      <c r="A20" s="8" t="s">
        <v>27</v>
      </c>
      <c r="B20" s="9" t="s">
        <v>28</v>
      </c>
      <c r="C20" s="10" t="n">
        <f aca="false">'[2]Team Report'!BA38</f>
        <v>0</v>
      </c>
      <c r="E20" s="10" t="n">
        <f aca="false">(C20/9)*12</f>
        <v>0</v>
      </c>
      <c r="G20" s="11" t="n">
        <f aca="false">E20/$E$23</f>
        <v>0</v>
      </c>
    </row>
    <row r="21" customFormat="false" ht="12.75" hidden="false" customHeight="false" outlineLevel="0" collapsed="false">
      <c r="A21" s="8" t="s">
        <v>29</v>
      </c>
      <c r="B21" s="9" t="s">
        <v>30</v>
      </c>
      <c r="C21" s="10" t="n">
        <f aca="false">'[2]Team Report'!BA42-6330-103200</f>
        <v>197.290000000008</v>
      </c>
      <c r="E21" s="10" t="n">
        <f aca="false">(C21/9)*12</f>
        <v>263.053333333344</v>
      </c>
      <c r="G21" s="11" t="n">
        <f aca="false">E21/$E$23</f>
        <v>0.000236747279341291</v>
      </c>
    </row>
    <row r="22" customFormat="false" ht="12.75" hidden="false" customHeight="false" outlineLevel="0" collapsed="false">
      <c r="A22" s="8" t="s">
        <v>31</v>
      </c>
      <c r="B22" s="9" t="s">
        <v>32</v>
      </c>
      <c r="C22" s="10" t="n">
        <f aca="false">'[2]Team Report'!BA44</f>
        <v>81.42</v>
      </c>
      <c r="E22" s="10" t="n">
        <f aca="false">(C22/9)*12</f>
        <v>108.56</v>
      </c>
      <c r="G22" s="11" t="n">
        <f aca="false">E22/$E$23</f>
        <v>9.77037025899293E-005</v>
      </c>
    </row>
    <row r="23" customFormat="false" ht="12.75" hidden="false" customHeight="false" outlineLevel="0" collapsed="false">
      <c r="A23" s="12" t="s">
        <v>33</v>
      </c>
      <c r="B23" s="13" t="s">
        <v>34</v>
      </c>
      <c r="C23" s="14" t="n">
        <f aca="false">SUM(C8:C22)</f>
        <v>847710.87</v>
      </c>
      <c r="E23" s="14" t="n">
        <f aca="false">SUM(E8:E22)</f>
        <v>1111114.49333333</v>
      </c>
      <c r="G23" s="15" t="n">
        <f aca="false">SUM(G8:G22)</f>
        <v>1</v>
      </c>
    </row>
    <row r="25" customFormat="false" ht="12.75" hidden="false" customHeight="false" outlineLevel="0" collapsed="false">
      <c r="B25" s="13" t="s">
        <v>35</v>
      </c>
      <c r="C25" s="10"/>
      <c r="E25" s="16" t="n">
        <f aca="false">5+2</f>
        <v>7</v>
      </c>
    </row>
    <row r="26" customFormat="false" ht="12.75" hidden="false" customHeight="false" outlineLevel="0" collapsed="false">
      <c r="C26" s="10"/>
      <c r="E26" s="10"/>
    </row>
    <row r="27" customFormat="false" ht="12.75" hidden="false" customHeight="false" outlineLevel="0" collapsed="false">
      <c r="B27" s="13" t="s">
        <v>36</v>
      </c>
      <c r="C27" s="10"/>
      <c r="E27" s="16" t="n">
        <v>5</v>
      </c>
    </row>
    <row r="28" customFormat="false" ht="12.75" hidden="false" customHeight="false" outlineLevel="0" collapsed="false">
      <c r="B28" s="13"/>
      <c r="C28" s="10"/>
      <c r="E28" s="10"/>
    </row>
    <row r="29" customFormat="false" ht="12.75" hidden="false" customHeight="false" outlineLevel="0" collapsed="false">
      <c r="B29" s="13" t="s">
        <v>37</v>
      </c>
      <c r="C29" s="10"/>
      <c r="E29" s="16" t="n">
        <f aca="false">SUM(E25:E27)</f>
        <v>12</v>
      </c>
    </row>
    <row r="31" customFormat="false" ht="12.75" hidden="false" customHeight="false" outlineLevel="0" collapsed="false">
      <c r="A31" s="8" t="s">
        <v>38</v>
      </c>
      <c r="B31" s="9" t="s">
        <v>39</v>
      </c>
      <c r="C31" s="10" t="n">
        <f aca="false">'[2]Team Report'!BA29</f>
        <v>9798.02</v>
      </c>
      <c r="E31" s="10" t="n">
        <f aca="false">(C31/9)*12</f>
        <v>13064.0266666667</v>
      </c>
    </row>
    <row r="32" customFormat="false" ht="12.75" hidden="false" customHeight="false" outlineLevel="0" collapsed="false">
      <c r="A32" s="8" t="s">
        <v>40</v>
      </c>
      <c r="B32" s="9" t="s">
        <v>41</v>
      </c>
      <c r="C32" s="10" t="n">
        <f aca="false">'[2]Team Report'!BA30</f>
        <v>0</v>
      </c>
      <c r="E32" s="10" t="n">
        <f aca="false">(C32/9)*12</f>
        <v>0</v>
      </c>
    </row>
    <row r="33" customFormat="false" ht="12.75" hidden="false" customHeight="false" outlineLevel="0" collapsed="false">
      <c r="A33" s="8" t="s">
        <v>42</v>
      </c>
      <c r="B33" s="9" t="s">
        <v>43</v>
      </c>
      <c r="C33" s="10" t="n">
        <f aca="false">'[2]Team Report'!BA31</f>
        <v>0</v>
      </c>
      <c r="E33" s="10" t="n">
        <f aca="false">(C33/9)*12</f>
        <v>0</v>
      </c>
    </row>
    <row r="34" customFormat="false" ht="12.75" hidden="false" customHeight="false" outlineLevel="0" collapsed="false">
      <c r="A34" s="8" t="s">
        <v>44</v>
      </c>
      <c r="B34" s="9" t="s">
        <v>45</v>
      </c>
      <c r="C34" s="10" t="n">
        <f aca="false">'[2]Team Report'!BA39</f>
        <v>0</v>
      </c>
      <c r="E34" s="10" t="n">
        <f aca="false">(C34/9)*12</f>
        <v>0</v>
      </c>
    </row>
    <row r="35" customFormat="false" ht="12.75" hidden="false" customHeight="false" outlineLevel="0" collapsed="false">
      <c r="A35" s="8" t="s">
        <v>46</v>
      </c>
      <c r="B35" s="9" t="s">
        <v>47</v>
      </c>
      <c r="C35" s="10" t="n">
        <f aca="false">'[2]Team Report'!BA40</f>
        <v>17422.34</v>
      </c>
      <c r="E35" s="10" t="n">
        <f aca="false">(C35/9)*12</f>
        <v>23229.7866666667</v>
      </c>
    </row>
    <row r="36" customFormat="false" ht="12.75" hidden="false" customHeight="false" outlineLevel="0" collapsed="false">
      <c r="A36" s="8" t="s">
        <v>48</v>
      </c>
      <c r="B36" s="9" t="s">
        <v>49</v>
      </c>
      <c r="C36" s="10" t="n">
        <f aca="false">'[2]Team Report'!BA41</f>
        <v>27016.04</v>
      </c>
      <c r="E36" s="10" t="n">
        <f aca="false">(C36/9)*12</f>
        <v>36021.3866666667</v>
      </c>
    </row>
    <row r="37" customFormat="false" ht="12.75" hidden="false" customHeight="false" outlineLevel="0" collapsed="false">
      <c r="A37" s="8" t="s">
        <v>50</v>
      </c>
      <c r="B37" s="9" t="s">
        <v>51</v>
      </c>
      <c r="C37" s="10" t="n">
        <f aca="false">'[2]Team Report'!BA43</f>
        <v>0</v>
      </c>
      <c r="E37" s="10" t="n">
        <f aca="false">(C37/9)*12</f>
        <v>0</v>
      </c>
    </row>
    <row r="38" customFormat="false" ht="12.75" hidden="false" customHeight="false" outlineLevel="0" collapsed="false">
      <c r="A38" s="8" t="s">
        <v>52</v>
      </c>
      <c r="B38" s="9" t="s">
        <v>53</v>
      </c>
      <c r="C38" s="10" t="n">
        <f aca="false">'[2]Team Report'!BA45</f>
        <v>0</v>
      </c>
      <c r="E38" s="10" t="n">
        <f aca="false">(C38/9)*12</f>
        <v>0</v>
      </c>
    </row>
    <row r="39" customFormat="false" ht="12.75" hidden="false" customHeight="false" outlineLevel="0" collapsed="false">
      <c r="B39" s="9" t="s">
        <v>54</v>
      </c>
      <c r="C39" s="10" t="n">
        <f aca="false">82053.5</f>
        <v>82053.5</v>
      </c>
      <c r="E39" s="10" t="n">
        <f aca="false">(C39/9)*12</f>
        <v>109404.666666667</v>
      </c>
    </row>
    <row r="40" customFormat="false" ht="12.75" hidden="false" customHeight="false" outlineLevel="0" collapsed="false">
      <c r="B40" s="9" t="s">
        <v>55</v>
      </c>
      <c r="C40" s="10" t="n">
        <v>16833.52</v>
      </c>
      <c r="E40" s="10" t="n">
        <f aca="false">(C40/9)*12</f>
        <v>22444.6933333333</v>
      </c>
    </row>
    <row r="43" customFormat="false" ht="12.75" hidden="false" customHeight="false" outlineLevel="0" collapsed="false">
      <c r="C43" s="18" t="n">
        <f aca="false">C23+C31+C32+C33+C34+C35+C36+C37+C38</f>
        <v>901947.27</v>
      </c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: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15.85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56"/>
  </cols>
  <sheetData>
    <row r="1" customFormat="false" ht="18" hidden="false" customHeight="false" outlineLevel="0" collapsed="false">
      <c r="B1" s="1" t="str">
        <f aca="false">'[3]Team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tr">
        <f aca="false">'[3]Pull Sheet'!E9</f>
        <v>Ercot Origination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3" t="n">
        <f aca="false">'[3]Team Report'!B3</f>
        <v>37135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</row>
    <row r="7" customFormat="false" ht="12.75" hidden="false" customHeight="false" outlineLevel="0" collapsed="false">
      <c r="C7" s="7" t="s">
        <v>2</v>
      </c>
      <c r="E7" s="7" t="s">
        <v>3</v>
      </c>
      <c r="G7" s="6" t="s">
        <v>1</v>
      </c>
    </row>
    <row r="8" customFormat="false" ht="12.75" hidden="false" customHeight="false" outlineLevel="0" collapsed="false">
      <c r="A8" s="8" t="s">
        <v>5</v>
      </c>
      <c r="B8" s="9" t="s">
        <v>6</v>
      </c>
      <c r="C8" s="10" t="n">
        <f aca="false">'[3]Team Report'!BA25-C9-26000</f>
        <v>264134.34</v>
      </c>
      <c r="E8" s="10" t="n">
        <f aca="false">(C8/9)*12</f>
        <v>352179.12</v>
      </c>
      <c r="G8" s="6" t="s">
        <v>4</v>
      </c>
    </row>
    <row r="9" customFormat="false" ht="12.75" hidden="false" customHeight="false" outlineLevel="0" collapsed="false">
      <c r="A9" s="8"/>
      <c r="B9" s="9" t="s">
        <v>7</v>
      </c>
      <c r="C9" s="10" t="n">
        <v>115000</v>
      </c>
      <c r="E9" s="10" t="n">
        <f aca="false">C9</f>
        <v>115000</v>
      </c>
      <c r="G9" s="11" t="n">
        <f aca="false">E9/$E$23</f>
        <v>0.138046379165916</v>
      </c>
    </row>
    <row r="10" customFormat="false" ht="12.75" hidden="false" customHeight="false" outlineLevel="0" collapsed="false">
      <c r="B10" s="9" t="s">
        <v>8</v>
      </c>
      <c r="C10" s="10" t="n">
        <f aca="false">26000+4032+44800+10199+2340</f>
        <v>87371</v>
      </c>
      <c r="E10" s="10" t="n">
        <f aca="false">(C10/9)*12</f>
        <v>116494.666666667</v>
      </c>
      <c r="G10" s="11" t="n">
        <f aca="false">E10/$E$23</f>
        <v>0.13984058196064</v>
      </c>
    </row>
    <row r="11" customFormat="false" ht="12.75" hidden="false" customHeight="false" outlineLevel="0" collapsed="false">
      <c r="A11" s="8" t="s">
        <v>9</v>
      </c>
      <c r="B11" s="9" t="s">
        <v>10</v>
      </c>
      <c r="C11" s="10" t="n">
        <f aca="false">'[3]Team Report'!BA26-4032-2340</f>
        <v>94561.45</v>
      </c>
      <c r="E11" s="10" t="n">
        <f aca="false">(C11/9)*12</f>
        <v>126081.933333333</v>
      </c>
      <c r="G11" s="11" t="n">
        <f aca="false">E11/$E$23</f>
        <v>0.151349168477435</v>
      </c>
    </row>
    <row r="12" customFormat="false" ht="12.75" hidden="false" customHeight="false" outlineLevel="0" collapsed="false">
      <c r="A12" s="8" t="s">
        <v>11</v>
      </c>
      <c r="B12" s="9" t="s">
        <v>12</v>
      </c>
      <c r="C12" s="10" t="n">
        <f aca="false">'[3]Team Report'!BA27</f>
        <v>17122.72</v>
      </c>
      <c r="E12" s="10" t="n">
        <f aca="false">(C12/9)*12</f>
        <v>22830.2933333333</v>
      </c>
      <c r="G12" s="11" t="n">
        <f aca="false">E12/$E$23</f>
        <v>0.0274055593909775</v>
      </c>
    </row>
    <row r="13" customFormat="false" ht="12.75" hidden="false" customHeight="false" outlineLevel="0" collapsed="false">
      <c r="A13" s="8" t="s">
        <v>13</v>
      </c>
      <c r="B13" s="9" t="s">
        <v>14</v>
      </c>
      <c r="C13" s="10" t="n">
        <f aca="false">'[3]Team Report'!BA28-C39</f>
        <v>66686.52</v>
      </c>
      <c r="E13" s="10" t="n">
        <f aca="false">(C13/9)*12</f>
        <v>88915.36</v>
      </c>
      <c r="G13" s="11" t="n">
        <f aca="false">E13/$E$23</f>
        <v>0.106734291306382</v>
      </c>
    </row>
    <row r="14" customFormat="false" ht="12.75" hidden="false" customHeight="false" outlineLevel="0" collapsed="false">
      <c r="A14" s="8" t="s">
        <v>15</v>
      </c>
      <c r="B14" s="9" t="s">
        <v>16</v>
      </c>
      <c r="C14" s="10" t="n">
        <f aca="false">'[3]Team Report'!BA32</f>
        <v>2489.47</v>
      </c>
      <c r="E14" s="10" t="n">
        <f aca="false">(C14/9)*12</f>
        <v>3319.29333333333</v>
      </c>
      <c r="G14" s="11" t="n">
        <f aca="false">E14/$E$23</f>
        <v>0.00398449066135852</v>
      </c>
    </row>
    <row r="15" customFormat="false" ht="12.75" hidden="false" customHeight="false" outlineLevel="0" collapsed="false">
      <c r="A15" s="8" t="s">
        <v>17</v>
      </c>
      <c r="B15" s="9" t="s">
        <v>18</v>
      </c>
      <c r="C15" s="10" t="n">
        <f aca="false">'[3]Team Report'!BA33</f>
        <v>2719</v>
      </c>
      <c r="E15" s="10" t="n">
        <f aca="false">(C15/9)*12</f>
        <v>3625.33333333333</v>
      </c>
      <c r="G15" s="11" t="n">
        <f aca="false">E15/$E$23</f>
        <v>0.00435186208640145</v>
      </c>
    </row>
    <row r="16" customFormat="false" ht="12.75" hidden="false" customHeight="false" outlineLevel="0" collapsed="false">
      <c r="A16" s="8" t="s">
        <v>19</v>
      </c>
      <c r="B16" s="9" t="s">
        <v>20</v>
      </c>
      <c r="C16" s="10" t="n">
        <f aca="false">'[3]Team Report'!BA34</f>
        <v>0</v>
      </c>
      <c r="E16" s="10" t="n">
        <f aca="false">(C16/9)*12</f>
        <v>0</v>
      </c>
      <c r="G16" s="11" t="n">
        <f aca="false">E16/$E$23</f>
        <v>0</v>
      </c>
    </row>
    <row r="17" customFormat="false" ht="12.75" hidden="false" customHeight="false" outlineLevel="0" collapsed="false">
      <c r="A17" s="8" t="s">
        <v>21</v>
      </c>
      <c r="B17" s="9" t="s">
        <v>22</v>
      </c>
      <c r="C17" s="10" t="n">
        <f aca="false">'[3]Team Report'!BA35</f>
        <v>300</v>
      </c>
      <c r="E17" s="10" t="n">
        <f aca="false">(C17/9)*12</f>
        <v>400</v>
      </c>
      <c r="G17" s="11" t="n">
        <f aca="false">E17/$E$23</f>
        <v>0.000480161318837967</v>
      </c>
    </row>
    <row r="18" customFormat="false" ht="12.75" hidden="false" customHeight="false" outlineLevel="0" collapsed="false">
      <c r="A18" s="8" t="s">
        <v>23</v>
      </c>
      <c r="B18" s="9" t="s">
        <v>24</v>
      </c>
      <c r="C18" s="10" t="n">
        <f aca="false">'[3]Team Report'!BA36</f>
        <v>129.24</v>
      </c>
      <c r="E18" s="10" t="n">
        <f aca="false">(C18/9)*12</f>
        <v>172.32</v>
      </c>
      <c r="G18" s="11" t="n">
        <f aca="false">E18/$E$23</f>
        <v>0.000206853496155396</v>
      </c>
    </row>
    <row r="19" customFormat="false" ht="12.75" hidden="false" customHeight="false" outlineLevel="0" collapsed="false">
      <c r="A19" s="8" t="s">
        <v>25</v>
      </c>
      <c r="B19" s="9" t="s">
        <v>26</v>
      </c>
      <c r="C19" s="10" t="n">
        <f aca="false">'[3]Team Report'!BA37</f>
        <v>1267.8</v>
      </c>
      <c r="E19" s="10" t="n">
        <f aca="false">(C19/9)*12</f>
        <v>1690.4</v>
      </c>
      <c r="G19" s="11" t="n">
        <f aca="false">E19/$E$23</f>
        <v>0.00202916173340925</v>
      </c>
    </row>
    <row r="20" customFormat="false" ht="12.75" hidden="false" customHeight="false" outlineLevel="0" collapsed="false">
      <c r="A20" s="8" t="s">
        <v>27</v>
      </c>
      <c r="B20" s="9" t="s">
        <v>28</v>
      </c>
      <c r="C20" s="10" t="n">
        <f aca="false">'[3]Team Report'!BA38</f>
        <v>0</v>
      </c>
      <c r="E20" s="10" t="n">
        <f aca="false">(C20/9)*12</f>
        <v>0</v>
      </c>
      <c r="G20" s="11" t="n">
        <f aca="false">E20/$E$23</f>
        <v>0</v>
      </c>
    </row>
    <row r="21" customFormat="false" ht="12.75" hidden="false" customHeight="false" outlineLevel="0" collapsed="false">
      <c r="A21" s="8" t="s">
        <v>29</v>
      </c>
      <c r="B21" s="9" t="s">
        <v>30</v>
      </c>
      <c r="C21" s="10" t="n">
        <f aca="false">'[3]Team Report'!BA42-44800-10199</f>
        <v>1704.48</v>
      </c>
      <c r="E21" s="10" t="n">
        <f aca="false">(C21/9)*12</f>
        <v>2272.64</v>
      </c>
      <c r="G21" s="11" t="n">
        <f aca="false">E21/$E$23</f>
        <v>0.0027280845491098</v>
      </c>
    </row>
    <row r="22" customFormat="false" ht="12.75" hidden="false" customHeight="false" outlineLevel="0" collapsed="false">
      <c r="A22" s="8" t="s">
        <v>31</v>
      </c>
      <c r="B22" s="9" t="s">
        <v>32</v>
      </c>
      <c r="C22" s="10" t="n">
        <f aca="false">'[3]Team Report'!BA44</f>
        <v>54</v>
      </c>
      <c r="E22" s="10" t="n">
        <f aca="false">(C22/9)*12</f>
        <v>72</v>
      </c>
      <c r="G22" s="11" t="n">
        <f aca="false">E22/$E$23</f>
        <v>8.64290373908341E-005</v>
      </c>
    </row>
    <row r="23" customFormat="false" ht="12.75" hidden="false" customHeight="false" outlineLevel="0" collapsed="false">
      <c r="A23" s="12" t="s">
        <v>33</v>
      </c>
      <c r="B23" s="13" t="s">
        <v>34</v>
      </c>
      <c r="C23" s="14" t="n">
        <f aca="false">SUM(C8:C22)</f>
        <v>653540.02</v>
      </c>
      <c r="E23" s="14" t="n">
        <f aca="false">SUM(E8:E22)</f>
        <v>833053.36</v>
      </c>
      <c r="G23" s="11" t="n">
        <f aca="false">E23/$E$23</f>
        <v>1</v>
      </c>
    </row>
    <row r="24" customFormat="false" ht="12.75" hidden="false" customHeight="false" outlineLevel="0" collapsed="false">
      <c r="G24" s="15" t="n">
        <f aca="false">SUM(G9:G23)</f>
        <v>1.57724302318401</v>
      </c>
    </row>
    <row r="25" customFormat="false" ht="12.75" hidden="false" customHeight="false" outlineLevel="0" collapsed="false">
      <c r="B25" s="13" t="s">
        <v>35</v>
      </c>
      <c r="C25" s="10"/>
      <c r="E25" s="16" t="n">
        <v>3</v>
      </c>
    </row>
    <row r="26" customFormat="false" ht="12.75" hidden="false" customHeight="false" outlineLevel="0" collapsed="false">
      <c r="C26" s="10"/>
      <c r="E26" s="10"/>
    </row>
    <row r="27" customFormat="false" ht="12.75" hidden="false" customHeight="false" outlineLevel="0" collapsed="false">
      <c r="B27" s="13" t="s">
        <v>36</v>
      </c>
      <c r="C27" s="10"/>
      <c r="E27" s="16" t="n">
        <v>1</v>
      </c>
    </row>
    <row r="28" customFormat="false" ht="12.75" hidden="false" customHeight="false" outlineLevel="0" collapsed="false">
      <c r="B28" s="13"/>
      <c r="C28" s="10"/>
      <c r="E28" s="10"/>
    </row>
    <row r="29" customFormat="false" ht="12.75" hidden="false" customHeight="false" outlineLevel="0" collapsed="false">
      <c r="B29" s="13" t="s">
        <v>37</v>
      </c>
      <c r="C29" s="10"/>
      <c r="E29" s="16" t="n">
        <f aca="false">SUM(E25:E27)</f>
        <v>4</v>
      </c>
    </row>
    <row r="31" customFormat="false" ht="12.75" hidden="false" customHeight="false" outlineLevel="0" collapsed="false">
      <c r="A31" s="8" t="s">
        <v>38</v>
      </c>
      <c r="B31" s="9" t="s">
        <v>39</v>
      </c>
      <c r="C31" s="10" t="n">
        <f aca="false">'[3]Team Report'!BA29</f>
        <v>0</v>
      </c>
      <c r="E31" s="10" t="n">
        <f aca="false">(C31/9)*12</f>
        <v>0</v>
      </c>
    </row>
    <row r="32" customFormat="false" ht="12.75" hidden="false" customHeight="false" outlineLevel="0" collapsed="false">
      <c r="A32" s="8" t="s">
        <v>40</v>
      </c>
      <c r="B32" s="9" t="s">
        <v>41</v>
      </c>
      <c r="C32" s="10" t="n">
        <f aca="false">'[3]Team Report'!BA30</f>
        <v>0</v>
      </c>
      <c r="E32" s="10" t="n">
        <f aca="false">(C32/9)*12</f>
        <v>0</v>
      </c>
    </row>
    <row r="33" customFormat="false" ht="12.75" hidden="false" customHeight="false" outlineLevel="0" collapsed="false">
      <c r="A33" s="8" t="s">
        <v>42</v>
      </c>
      <c r="B33" s="9" t="s">
        <v>43</v>
      </c>
      <c r="C33" s="10" t="n">
        <f aca="false">'[3]Team Report'!BA31</f>
        <v>0</v>
      </c>
      <c r="E33" s="10" t="n">
        <f aca="false">(C33/9)*12</f>
        <v>0</v>
      </c>
    </row>
    <row r="34" customFormat="false" ht="12.75" hidden="false" customHeight="false" outlineLevel="0" collapsed="false">
      <c r="A34" s="8" t="s">
        <v>44</v>
      </c>
      <c r="B34" s="9" t="s">
        <v>45</v>
      </c>
      <c r="C34" s="10" t="n">
        <f aca="false">'[3]Team Report'!BA39</f>
        <v>0</v>
      </c>
      <c r="E34" s="10" t="n">
        <f aca="false">(C34/9)*12</f>
        <v>0</v>
      </c>
    </row>
    <row r="35" customFormat="false" ht="12.75" hidden="false" customHeight="false" outlineLevel="0" collapsed="false">
      <c r="A35" s="8" t="s">
        <v>46</v>
      </c>
      <c r="B35" s="9" t="s">
        <v>47</v>
      </c>
      <c r="C35" s="10" t="n">
        <f aca="false">'[3]Team Report'!BA40</f>
        <v>21771.19</v>
      </c>
      <c r="E35" s="10" t="n">
        <f aca="false">(C35/9)*12</f>
        <v>29028.2533333333</v>
      </c>
    </row>
    <row r="36" customFormat="false" ht="12.75" hidden="false" customHeight="false" outlineLevel="0" collapsed="false">
      <c r="A36" s="8" t="s">
        <v>48</v>
      </c>
      <c r="B36" s="9" t="s">
        <v>49</v>
      </c>
      <c r="C36" s="10" t="n">
        <f aca="false">'[3]Team Report'!BA41</f>
        <v>27624</v>
      </c>
      <c r="E36" s="10" t="n">
        <f aca="false">(C36/9)*12</f>
        <v>36832</v>
      </c>
    </row>
    <row r="37" customFormat="false" ht="12.75" hidden="false" customHeight="false" outlineLevel="0" collapsed="false">
      <c r="A37" s="8" t="s">
        <v>50</v>
      </c>
      <c r="B37" s="9" t="s">
        <v>51</v>
      </c>
      <c r="C37" s="10" t="n">
        <f aca="false">'[3]Team Report'!BA43</f>
        <v>0</v>
      </c>
      <c r="E37" s="10" t="n">
        <f aca="false">(C37/9)*12</f>
        <v>0</v>
      </c>
    </row>
    <row r="38" customFormat="false" ht="12.75" hidden="false" customHeight="false" outlineLevel="0" collapsed="false">
      <c r="A38" s="8" t="s">
        <v>52</v>
      </c>
      <c r="B38" s="9" t="s">
        <v>53</v>
      </c>
      <c r="C38" s="10" t="n">
        <f aca="false">'[3]Team Report'!BA45</f>
        <v>0</v>
      </c>
      <c r="E38" s="10" t="n">
        <f aca="false">(C38/9)*12</f>
        <v>0</v>
      </c>
    </row>
    <row r="39" customFormat="false" ht="12.75" hidden="false" customHeight="false" outlineLevel="0" collapsed="false">
      <c r="B39" s="9" t="s">
        <v>56</v>
      </c>
      <c r="C39" s="10" t="n">
        <v>61013</v>
      </c>
      <c r="E39" s="10" t="n">
        <v>61013</v>
      </c>
    </row>
    <row r="43" customFormat="false" ht="12.75" hidden="false" customHeight="false" outlineLevel="0" collapsed="false">
      <c r="C43" s="18" t="n">
        <f aca="false">C23+C31+C32+C33+C34+C35+C36+C37+C38</f>
        <v>702935.21</v>
      </c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: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17.85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56"/>
  </cols>
  <sheetData>
    <row r="1" customFormat="false" ht="18" hidden="false" customHeight="false" outlineLevel="0" collapsed="false">
      <c r="B1" s="1" t="str">
        <f aca="false">'[4]Team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tr">
        <f aca="false">'[4]Pull Sheet'!E9</f>
        <v>Southeast Trading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3" t="n">
        <f aca="false">'[4]Team Report'!B3</f>
        <v>37135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6" t="s">
        <v>1</v>
      </c>
    </row>
    <row r="7" customFormat="false" ht="12.75" hidden="false" customHeight="false" outlineLevel="0" collapsed="false">
      <c r="C7" s="7" t="s">
        <v>2</v>
      </c>
      <c r="E7" s="7" t="s">
        <v>3</v>
      </c>
      <c r="G7" s="6" t="s">
        <v>4</v>
      </c>
    </row>
    <row r="8" customFormat="false" ht="12.75" hidden="false" customHeight="false" outlineLevel="0" collapsed="false">
      <c r="A8" s="8" t="s">
        <v>5</v>
      </c>
      <c r="B8" s="9" t="s">
        <v>6</v>
      </c>
      <c r="C8" s="10" t="n">
        <f aca="false">'[4]Team Report'!BA25-29000-C9</f>
        <v>713168.45</v>
      </c>
      <c r="E8" s="10" t="n">
        <f aca="false">(C8/9)*12</f>
        <v>950891.266666667</v>
      </c>
      <c r="G8" s="11" t="n">
        <f aca="false">E8/$E$23</f>
        <v>0.563095022430365</v>
      </c>
    </row>
    <row r="9" customFormat="false" ht="12.75" hidden="false" customHeight="false" outlineLevel="0" collapsed="false">
      <c r="A9" s="8"/>
      <c r="B9" s="9" t="s">
        <v>7</v>
      </c>
      <c r="C9" s="10" t="n">
        <v>130000</v>
      </c>
      <c r="E9" s="10" t="n">
        <f aca="false">C9</f>
        <v>130000</v>
      </c>
      <c r="G9" s="11" t="n">
        <f aca="false">E9/$E$23</f>
        <v>0.0769828848807888</v>
      </c>
    </row>
    <row r="10" customFormat="false" ht="12.75" hidden="false" customHeight="false" outlineLevel="0" collapsed="false">
      <c r="B10" s="9" t="s">
        <v>8</v>
      </c>
      <c r="C10" s="10" t="n">
        <f aca="false">29000+5112+121200+9678+2025</f>
        <v>167015</v>
      </c>
      <c r="E10" s="10" t="n">
        <f aca="false">(C10/9)*12</f>
        <v>222686.666666667</v>
      </c>
      <c r="G10" s="11" t="n">
        <f aca="false">E10/$E$23</f>
        <v>0.131869707880666</v>
      </c>
    </row>
    <row r="11" customFormat="false" ht="12.75" hidden="false" customHeight="false" outlineLevel="0" collapsed="false">
      <c r="A11" s="8" t="s">
        <v>9</v>
      </c>
      <c r="B11" s="9" t="s">
        <v>10</v>
      </c>
      <c r="C11" s="10" t="n">
        <f aca="false">'[4]Team Report'!BA26-5112-2025</f>
        <v>157936.78</v>
      </c>
      <c r="E11" s="10" t="n">
        <f aca="false">(C11/9)*12</f>
        <v>210582.373333333</v>
      </c>
      <c r="G11" s="11" t="n">
        <f aca="false">E11/$E$23</f>
        <v>0.124701835417256</v>
      </c>
    </row>
    <row r="12" customFormat="false" ht="12.75" hidden="false" customHeight="false" outlineLevel="0" collapsed="false">
      <c r="A12" s="8" t="s">
        <v>11</v>
      </c>
      <c r="B12" s="9" t="s">
        <v>12</v>
      </c>
      <c r="C12" s="10" t="n">
        <f aca="false">'[4]Team Report'!BA27</f>
        <v>44114.16</v>
      </c>
      <c r="E12" s="10" t="n">
        <f aca="false">(C12/9)*12</f>
        <v>58818.88</v>
      </c>
      <c r="G12" s="11" t="n">
        <f aca="false">E12/$E$23</f>
        <v>0.0348311312912072</v>
      </c>
    </row>
    <row r="13" customFormat="false" ht="12.75" hidden="false" customHeight="false" outlineLevel="0" collapsed="false">
      <c r="A13" s="8" t="s">
        <v>13</v>
      </c>
      <c r="B13" s="9" t="s">
        <v>14</v>
      </c>
      <c r="C13" s="10" t="n">
        <f aca="false">'[4]Team Report'!BA28</f>
        <v>43025.3</v>
      </c>
      <c r="E13" s="10" t="n">
        <f aca="false">(C13/9)*12</f>
        <v>57367.0666666667</v>
      </c>
      <c r="G13" s="11" t="n">
        <f aca="false">E13/$E$23</f>
        <v>0.0339714022242195</v>
      </c>
    </row>
    <row r="14" customFormat="false" ht="12.75" hidden="false" customHeight="false" outlineLevel="0" collapsed="false">
      <c r="A14" s="8" t="s">
        <v>15</v>
      </c>
      <c r="B14" s="9" t="s">
        <v>16</v>
      </c>
      <c r="C14" s="10" t="n">
        <f aca="false">'[4]Team Report'!BA32</f>
        <v>28750</v>
      </c>
      <c r="E14" s="10" t="n">
        <f aca="false">(C14/9)*12</f>
        <v>38333.3333333333</v>
      </c>
      <c r="G14" s="11" t="n">
        <f aca="false">E14/$E$23</f>
        <v>0.022700081439207</v>
      </c>
    </row>
    <row r="15" customFormat="false" ht="12.75" hidden="false" customHeight="false" outlineLevel="0" collapsed="false">
      <c r="A15" s="8" t="s">
        <v>17</v>
      </c>
      <c r="B15" s="9" t="s">
        <v>18</v>
      </c>
      <c r="C15" s="10" t="n">
        <f aca="false">'[4]Team Report'!BA33</f>
        <v>433</v>
      </c>
      <c r="E15" s="10" t="n">
        <f aca="false">(C15/9)*12</f>
        <v>577.333333333333</v>
      </c>
      <c r="G15" s="11" t="n">
        <f aca="false">E15/$E$23</f>
        <v>0.000341882965675708</v>
      </c>
    </row>
    <row r="16" customFormat="false" ht="12.75" hidden="false" customHeight="false" outlineLevel="0" collapsed="false">
      <c r="A16" s="8" t="s">
        <v>19</v>
      </c>
      <c r="B16" s="9" t="s">
        <v>20</v>
      </c>
      <c r="C16" s="10" t="n">
        <f aca="false">'[4]Team Report'!BA34</f>
        <v>0</v>
      </c>
      <c r="E16" s="10" t="n">
        <f aca="false">(C16/9)*12</f>
        <v>0</v>
      </c>
      <c r="G16" s="11" t="n">
        <f aca="false">E16/$E$23</f>
        <v>0</v>
      </c>
    </row>
    <row r="17" customFormat="false" ht="12.75" hidden="false" customHeight="false" outlineLevel="0" collapsed="false">
      <c r="A17" s="8" t="s">
        <v>21</v>
      </c>
      <c r="B17" s="9" t="s">
        <v>22</v>
      </c>
      <c r="C17" s="10" t="n">
        <f aca="false">'[4]Team Report'!BA35</f>
        <v>0</v>
      </c>
      <c r="E17" s="10" t="n">
        <f aca="false">(C17/9)*12</f>
        <v>0</v>
      </c>
      <c r="G17" s="11" t="n">
        <f aca="false">E17/$E$23</f>
        <v>0</v>
      </c>
    </row>
    <row r="18" customFormat="false" ht="12.75" hidden="false" customHeight="false" outlineLevel="0" collapsed="false">
      <c r="A18" s="8" t="s">
        <v>23</v>
      </c>
      <c r="B18" s="9" t="s">
        <v>24</v>
      </c>
      <c r="C18" s="10" t="n">
        <f aca="false">'[4]Team Report'!BA36</f>
        <v>0</v>
      </c>
      <c r="E18" s="10" t="n">
        <f aca="false">(C18/9)*12</f>
        <v>0</v>
      </c>
      <c r="G18" s="11" t="n">
        <f aca="false">E18/$E$23</f>
        <v>0</v>
      </c>
    </row>
    <row r="19" customFormat="false" ht="12.75" hidden="false" customHeight="false" outlineLevel="0" collapsed="false">
      <c r="A19" s="8" t="s">
        <v>25</v>
      </c>
      <c r="B19" s="9" t="s">
        <v>26</v>
      </c>
      <c r="C19" s="10" t="n">
        <f aca="false">'[4]Team Report'!BA37</f>
        <v>14417.72</v>
      </c>
      <c r="E19" s="10" t="n">
        <f aca="false">(C19/9)*12</f>
        <v>19223.6266666667</v>
      </c>
      <c r="G19" s="11" t="n">
        <f aca="false">E19/$E$23</f>
        <v>0.011383771066702</v>
      </c>
    </row>
    <row r="20" customFormat="false" ht="12.75" hidden="false" customHeight="false" outlineLevel="0" collapsed="false">
      <c r="A20" s="8" t="s">
        <v>27</v>
      </c>
      <c r="B20" s="9" t="s">
        <v>28</v>
      </c>
      <c r="C20" s="10" t="n">
        <f aca="false">'[4]Team Report'!BA38</f>
        <v>0</v>
      </c>
      <c r="E20" s="10" t="n">
        <f aca="false">(C20/9)*12</f>
        <v>0</v>
      </c>
      <c r="G20" s="11" t="n">
        <f aca="false">E20/$E$23</f>
        <v>0</v>
      </c>
    </row>
    <row r="21" customFormat="false" ht="12.75" hidden="false" customHeight="false" outlineLevel="0" collapsed="false">
      <c r="A21" s="8" t="s">
        <v>29</v>
      </c>
      <c r="B21" s="9" t="s">
        <v>30</v>
      </c>
      <c r="C21" s="10" t="n">
        <f aca="false">'[4]Team Report'!BA42-121200-9678</f>
        <v>30.8999999999942</v>
      </c>
      <c r="E21" s="10" t="n">
        <f aca="false">(C21/9)*12</f>
        <v>41.1999999999922</v>
      </c>
      <c r="G21" s="11" t="n">
        <f aca="false">E21/$E$23</f>
        <v>2.439765274683E-005</v>
      </c>
    </row>
    <row r="22" customFormat="false" ht="12.75" hidden="false" customHeight="false" outlineLevel="0" collapsed="false">
      <c r="A22" s="8" t="s">
        <v>31</v>
      </c>
      <c r="B22" s="9" t="s">
        <v>32</v>
      </c>
      <c r="C22" s="10" t="n">
        <f aca="false">'[4]Team Report'!BA44</f>
        <v>123.97</v>
      </c>
      <c r="E22" s="10" t="n">
        <f aca="false">(C22/9)*12</f>
        <v>165.293333333333</v>
      </c>
      <c r="G22" s="11" t="n">
        <f aca="false">E22/$E$23</f>
        <v>9.78827511658604E-005</v>
      </c>
    </row>
    <row r="23" customFormat="false" ht="12.75" hidden="false" customHeight="false" outlineLevel="0" collapsed="false">
      <c r="A23" s="12" t="s">
        <v>33</v>
      </c>
      <c r="B23" s="13" t="s">
        <v>34</v>
      </c>
      <c r="C23" s="14" t="n">
        <f aca="false">SUM(C8:C22)</f>
        <v>1299015.28</v>
      </c>
      <c r="E23" s="14" t="n">
        <f aca="false">SUM(E8:E22)</f>
        <v>1688687.04</v>
      </c>
      <c r="G23" s="15" t="n">
        <f aca="false">SUM(G8:G22)</f>
        <v>1</v>
      </c>
    </row>
    <row r="25" customFormat="false" ht="12.75" hidden="false" customHeight="false" outlineLevel="0" collapsed="false">
      <c r="B25" s="13" t="s">
        <v>35</v>
      </c>
      <c r="C25" s="10"/>
      <c r="E25" s="16" t="n">
        <f aca="false">5+2</f>
        <v>7</v>
      </c>
    </row>
    <row r="26" customFormat="false" ht="12.75" hidden="false" customHeight="false" outlineLevel="0" collapsed="false">
      <c r="C26" s="10"/>
      <c r="E26" s="10"/>
    </row>
    <row r="27" customFormat="false" ht="12.75" hidden="false" customHeight="false" outlineLevel="0" collapsed="false">
      <c r="B27" s="13" t="s">
        <v>36</v>
      </c>
      <c r="C27" s="10"/>
      <c r="E27" s="16" t="n">
        <v>4</v>
      </c>
    </row>
    <row r="28" customFormat="false" ht="12.75" hidden="false" customHeight="false" outlineLevel="0" collapsed="false">
      <c r="B28" s="13"/>
      <c r="C28" s="10"/>
      <c r="E28" s="10"/>
    </row>
    <row r="29" customFormat="false" ht="12.75" hidden="false" customHeight="false" outlineLevel="0" collapsed="false">
      <c r="B29" s="13" t="s">
        <v>37</v>
      </c>
      <c r="C29" s="10"/>
      <c r="E29" s="16" t="n">
        <f aca="false">SUM(E25:E27)</f>
        <v>11</v>
      </c>
    </row>
    <row r="31" customFormat="false" ht="12.75" hidden="false" customHeight="false" outlineLevel="0" collapsed="false">
      <c r="A31" s="8" t="s">
        <v>38</v>
      </c>
      <c r="B31" s="9" t="s">
        <v>39</v>
      </c>
      <c r="C31" s="10" t="n">
        <f aca="false">'[4]Team Report'!BA29</f>
        <v>31742.32</v>
      </c>
      <c r="E31" s="10" t="n">
        <f aca="false">(C31/9)*12</f>
        <v>42323.0933333333</v>
      </c>
    </row>
    <row r="32" customFormat="false" ht="12.75" hidden="false" customHeight="false" outlineLevel="0" collapsed="false">
      <c r="A32" s="8" t="s">
        <v>40</v>
      </c>
      <c r="B32" s="9" t="s">
        <v>41</v>
      </c>
      <c r="C32" s="10" t="n">
        <f aca="false">'[4]Team Report'!BA30</f>
        <v>0</v>
      </c>
      <c r="E32" s="10" t="n">
        <f aca="false">(C32/9)*12</f>
        <v>0</v>
      </c>
    </row>
    <row r="33" customFormat="false" ht="12.75" hidden="false" customHeight="false" outlineLevel="0" collapsed="false">
      <c r="A33" s="8" t="s">
        <v>42</v>
      </c>
      <c r="B33" s="9" t="s">
        <v>43</v>
      </c>
      <c r="C33" s="10" t="n">
        <f aca="false">'[4]Team Report'!BA31</f>
        <v>0</v>
      </c>
      <c r="E33" s="10" t="n">
        <f aca="false">(C33/9)*12</f>
        <v>0</v>
      </c>
    </row>
    <row r="34" customFormat="false" ht="12.75" hidden="false" customHeight="false" outlineLevel="0" collapsed="false">
      <c r="A34" s="8" t="s">
        <v>44</v>
      </c>
      <c r="B34" s="9" t="s">
        <v>45</v>
      </c>
      <c r="C34" s="10" t="n">
        <f aca="false">'[4]Team Report'!BA39</f>
        <v>0</v>
      </c>
      <c r="E34" s="10" t="n">
        <f aca="false">(C34/9)*12</f>
        <v>0</v>
      </c>
    </row>
    <row r="35" customFormat="false" ht="12.75" hidden="false" customHeight="false" outlineLevel="0" collapsed="false">
      <c r="A35" s="8" t="s">
        <v>46</v>
      </c>
      <c r="B35" s="9" t="s">
        <v>47</v>
      </c>
      <c r="C35" s="10" t="n">
        <f aca="false">'[4]Team Report'!BA40</f>
        <v>18986.29</v>
      </c>
      <c r="E35" s="10" t="n">
        <f aca="false">(C35/9)*12</f>
        <v>25315.0533333333</v>
      </c>
    </row>
    <row r="36" customFormat="false" ht="12.75" hidden="false" customHeight="false" outlineLevel="0" collapsed="false">
      <c r="A36" s="8" t="s">
        <v>48</v>
      </c>
      <c r="B36" s="9" t="s">
        <v>49</v>
      </c>
      <c r="C36" s="10" t="n">
        <f aca="false">'[4]Team Report'!BA41</f>
        <v>31726.59</v>
      </c>
      <c r="E36" s="10" t="n">
        <f aca="false">(C36/9)*12</f>
        <v>42302.12</v>
      </c>
    </row>
    <row r="37" customFormat="false" ht="12.75" hidden="false" customHeight="false" outlineLevel="0" collapsed="false">
      <c r="A37" s="8" t="s">
        <v>50</v>
      </c>
      <c r="B37" s="9" t="s">
        <v>51</v>
      </c>
      <c r="C37" s="10" t="n">
        <f aca="false">'[4]Team Report'!BA43</f>
        <v>0</v>
      </c>
      <c r="E37" s="10" t="n">
        <f aca="false">(C37/9)*12</f>
        <v>0</v>
      </c>
    </row>
    <row r="38" customFormat="false" ht="12.75" hidden="false" customHeight="false" outlineLevel="0" collapsed="false">
      <c r="A38" s="8" t="s">
        <v>52</v>
      </c>
      <c r="B38" s="9" t="s">
        <v>53</v>
      </c>
      <c r="C38" s="10" t="n">
        <f aca="false">'[4]Team Report'!BA45</f>
        <v>0</v>
      </c>
      <c r="E38" s="10" t="n">
        <f aca="false">(C38/9)*12</f>
        <v>0</v>
      </c>
    </row>
    <row r="39" customFormat="false" ht="12.75" hidden="false" customHeight="false" outlineLevel="0" collapsed="false">
      <c r="B39" s="9" t="s">
        <v>57</v>
      </c>
      <c r="C39" s="10" t="n">
        <v>64113</v>
      </c>
      <c r="E39" s="10"/>
    </row>
    <row r="43" customFormat="false" ht="12.75" hidden="false" customHeight="false" outlineLevel="0" collapsed="false">
      <c r="C43" s="18" t="n">
        <f aca="false">C23+C31+C32+C33+C34+C35+C36+C37+C38</f>
        <v>1381470.48</v>
      </c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: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22.28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56"/>
  </cols>
  <sheetData>
    <row r="1" customFormat="false" ht="18" hidden="false" customHeight="false" outlineLevel="0" collapsed="false">
      <c r="B1" s="1" t="str">
        <f aca="false">'[5]Team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tr">
        <f aca="false">'[5]Pull Sheet'!E9</f>
        <v>Southeast Origination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3" t="n">
        <f aca="false">'[5]Team Report'!B3</f>
        <v>37135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6" t="s">
        <v>1</v>
      </c>
    </row>
    <row r="7" customFormat="false" ht="12.75" hidden="false" customHeight="false" outlineLevel="0" collapsed="false">
      <c r="C7" s="7" t="s">
        <v>2</v>
      </c>
      <c r="E7" s="7" t="s">
        <v>3</v>
      </c>
      <c r="G7" s="6" t="s">
        <v>4</v>
      </c>
    </row>
    <row r="8" customFormat="false" ht="12.75" hidden="false" customHeight="false" outlineLevel="0" collapsed="false">
      <c r="A8" s="8" t="s">
        <v>5</v>
      </c>
      <c r="B8" s="9" t="s">
        <v>6</v>
      </c>
      <c r="C8" s="10" t="n">
        <f aca="false">'[5]Team Report'!BA25-C9-100500</f>
        <v>501061.72</v>
      </c>
      <c r="E8" s="10" t="n">
        <f aca="false">(C8/9)*12</f>
        <v>668082.293333334</v>
      </c>
      <c r="G8" s="11" t="n">
        <f aca="false">E8/$E$23</f>
        <v>0.36361464840233</v>
      </c>
    </row>
    <row r="9" customFormat="false" ht="12.75" hidden="false" customHeight="false" outlineLevel="0" collapsed="false">
      <c r="A9" s="8"/>
      <c r="B9" s="9" t="s">
        <v>7</v>
      </c>
      <c r="C9" s="10" t="n">
        <v>7500</v>
      </c>
      <c r="E9" s="10" t="n">
        <f aca="false">C9</f>
        <v>7500</v>
      </c>
      <c r="G9" s="11" t="n">
        <f aca="false">E9/$E$23</f>
        <v>0.00408199691898855</v>
      </c>
    </row>
    <row r="10" customFormat="false" ht="12.75" hidden="false" customHeight="false" outlineLevel="0" collapsed="false">
      <c r="B10" s="9" t="s">
        <v>8</v>
      </c>
      <c r="C10" s="10" t="n">
        <f aca="false">100500+16200+184800+35055+9045</f>
        <v>345600</v>
      </c>
      <c r="E10" s="10" t="n">
        <f aca="false">(C10/9)*12</f>
        <v>460800</v>
      </c>
      <c r="G10" s="11" t="n">
        <f aca="false">E10/$E$23</f>
        <v>0.250797890702657</v>
      </c>
    </row>
    <row r="11" customFormat="false" ht="12.75" hidden="false" customHeight="false" outlineLevel="0" collapsed="false">
      <c r="A11" s="8" t="s">
        <v>9</v>
      </c>
      <c r="B11" s="9" t="s">
        <v>10</v>
      </c>
      <c r="C11" s="10" t="n">
        <f aca="false">'[5]Team Report'!BA26-16200-9045</f>
        <v>112865</v>
      </c>
      <c r="E11" s="10" t="n">
        <f aca="false">(C11/9)*12</f>
        <v>150486.666666667</v>
      </c>
      <c r="G11" s="11" t="n">
        <f aca="false">E11/$E$23</f>
        <v>0.081904814624292</v>
      </c>
    </row>
    <row r="12" customFormat="false" ht="12.75" hidden="false" customHeight="false" outlineLevel="0" collapsed="false">
      <c r="A12" s="8" t="s">
        <v>11</v>
      </c>
      <c r="B12" s="9" t="s">
        <v>12</v>
      </c>
      <c r="C12" s="10" t="n">
        <f aca="false">'[5]Team Report'!BA27</f>
        <v>43971.2</v>
      </c>
      <c r="E12" s="10" t="n">
        <f aca="false">(C12/9)*12</f>
        <v>58628.2666666667</v>
      </c>
      <c r="G12" s="11" t="n">
        <f aca="false">E12/$E$23</f>
        <v>0.0319093871865297</v>
      </c>
    </row>
    <row r="13" customFormat="false" ht="12.75" hidden="false" customHeight="false" outlineLevel="0" collapsed="false">
      <c r="A13" s="8" t="s">
        <v>13</v>
      </c>
      <c r="B13" s="9" t="s">
        <v>14</v>
      </c>
      <c r="C13" s="10" t="n">
        <f aca="false">'[5]Team Report'!BA28</f>
        <v>272272.65</v>
      </c>
      <c r="E13" s="10" t="n">
        <f aca="false">(C13/9)*12</f>
        <v>363030.2</v>
      </c>
      <c r="G13" s="11" t="n">
        <f aca="false">E13/$E$23</f>
        <v>0.197585087719973</v>
      </c>
    </row>
    <row r="14" customFormat="false" ht="12.75" hidden="false" customHeight="false" outlineLevel="0" collapsed="false">
      <c r="A14" s="8" t="s">
        <v>15</v>
      </c>
      <c r="B14" s="9" t="s">
        <v>16</v>
      </c>
      <c r="C14" s="10" t="n">
        <f aca="false">'[5]Team Report'!BA32-C39</f>
        <v>25184.14</v>
      </c>
      <c r="E14" s="10" t="n">
        <f aca="false">(C14/9)*12</f>
        <v>33578.8533333333</v>
      </c>
      <c r="G14" s="11" t="n">
        <f aca="false">E14/$E$23</f>
        <v>0.018275836779978</v>
      </c>
    </row>
    <row r="15" customFormat="false" ht="12.75" hidden="false" customHeight="false" outlineLevel="0" collapsed="false">
      <c r="A15" s="8" t="s">
        <v>17</v>
      </c>
      <c r="B15" s="9" t="s">
        <v>18</v>
      </c>
      <c r="C15" s="10" t="n">
        <f aca="false">'[5]Team Report'!BA33</f>
        <v>6445.68</v>
      </c>
      <c r="E15" s="10" t="n">
        <f aca="false">(C15/9)*12</f>
        <v>8594.24</v>
      </c>
      <c r="G15" s="11" t="n">
        <f aca="false">E15/$E$23</f>
        <v>0.00467755482680642</v>
      </c>
    </row>
    <row r="16" customFormat="false" ht="12.75" hidden="false" customHeight="false" outlineLevel="0" collapsed="false">
      <c r="A16" s="8" t="s">
        <v>19</v>
      </c>
      <c r="B16" s="9" t="s">
        <v>20</v>
      </c>
      <c r="C16" s="10" t="n">
        <f aca="false">'[5]Team Report'!BA34</f>
        <v>0</v>
      </c>
      <c r="E16" s="10" t="n">
        <f aca="false">(C16/9)*12</f>
        <v>0</v>
      </c>
      <c r="G16" s="11" t="n">
        <f aca="false">E16/$E$23</f>
        <v>0</v>
      </c>
    </row>
    <row r="17" customFormat="false" ht="12.75" hidden="false" customHeight="false" outlineLevel="0" collapsed="false">
      <c r="A17" s="8" t="s">
        <v>21</v>
      </c>
      <c r="B17" s="9" t="s">
        <v>22</v>
      </c>
      <c r="C17" s="10" t="n">
        <f aca="false">'[5]Team Report'!BA35</f>
        <v>0</v>
      </c>
      <c r="E17" s="10" t="n">
        <f aca="false">(C17/9)*12</f>
        <v>0</v>
      </c>
      <c r="G17" s="11" t="n">
        <f aca="false">E17/$E$23</f>
        <v>0</v>
      </c>
    </row>
    <row r="18" customFormat="false" ht="12.75" hidden="false" customHeight="false" outlineLevel="0" collapsed="false">
      <c r="A18" s="8" t="s">
        <v>23</v>
      </c>
      <c r="B18" s="9" t="s">
        <v>24</v>
      </c>
      <c r="C18" s="10" t="n">
        <f aca="false">'[5]Team Report'!BA36</f>
        <v>0</v>
      </c>
      <c r="E18" s="10" t="n">
        <f aca="false">(C18/9)*12</f>
        <v>0</v>
      </c>
      <c r="G18" s="11" t="n">
        <f aca="false">E18/$E$23</f>
        <v>0</v>
      </c>
    </row>
    <row r="19" customFormat="false" ht="12.75" hidden="false" customHeight="false" outlineLevel="0" collapsed="false">
      <c r="A19" s="8" t="s">
        <v>25</v>
      </c>
      <c r="B19" s="9" t="s">
        <v>26</v>
      </c>
      <c r="C19" s="10" t="n">
        <f aca="false">'[5]Team Report'!BA37</f>
        <v>54297.13</v>
      </c>
      <c r="E19" s="10" t="n">
        <f aca="false">(C19/9)*12</f>
        <v>72396.1733333333</v>
      </c>
      <c r="G19" s="11" t="n">
        <f aca="false">E19/$E$23</f>
        <v>0.039402794199097</v>
      </c>
    </row>
    <row r="20" customFormat="false" ht="12.75" hidden="false" customHeight="false" outlineLevel="0" collapsed="false">
      <c r="A20" s="8" t="s">
        <v>27</v>
      </c>
      <c r="B20" s="9" t="s">
        <v>28</v>
      </c>
      <c r="C20" s="10" t="n">
        <f aca="false">'[5]Team Report'!BA38</f>
        <v>0</v>
      </c>
      <c r="E20" s="10" t="n">
        <f aca="false">(C20/9)*12</f>
        <v>0</v>
      </c>
      <c r="G20" s="11" t="n">
        <f aca="false">E20/$E$23</f>
        <v>0</v>
      </c>
    </row>
    <row r="21" customFormat="false" ht="12.75" hidden="false" customHeight="false" outlineLevel="0" collapsed="false">
      <c r="A21" s="8" t="s">
        <v>29</v>
      </c>
      <c r="B21" s="9" t="s">
        <v>30</v>
      </c>
      <c r="C21" s="10" t="n">
        <f aca="false">'[5]Team Report'!BA42-184800-35055</f>
        <v>10598.03</v>
      </c>
      <c r="E21" s="10" t="n">
        <f aca="false">(C21/9)*12</f>
        <v>14130.7066666667</v>
      </c>
      <c r="G21" s="11" t="n">
        <f aca="false">E21/$E$23</f>
        <v>0.00769086681019524</v>
      </c>
    </row>
    <row r="22" customFormat="false" ht="12.75" hidden="false" customHeight="false" outlineLevel="0" collapsed="false">
      <c r="A22" s="8" t="s">
        <v>31</v>
      </c>
      <c r="B22" s="9" t="s">
        <v>32</v>
      </c>
      <c r="C22" s="10" t="n">
        <f aca="false">'[5]Team Report'!BA44</f>
        <v>81.47</v>
      </c>
      <c r="E22" s="10" t="n">
        <f aca="false">(C22/9)*12</f>
        <v>108.626666666667</v>
      </c>
      <c r="G22" s="11" t="n">
        <f aca="false">E22/$E$23</f>
        <v>5.91218291537773E-005</v>
      </c>
    </row>
    <row r="23" customFormat="false" ht="12.75" hidden="false" customHeight="false" outlineLevel="0" collapsed="false">
      <c r="A23" s="12" t="s">
        <v>33</v>
      </c>
      <c r="B23" s="13" t="s">
        <v>34</v>
      </c>
      <c r="C23" s="14" t="n">
        <f aca="false">SUM(C8:C22)</f>
        <v>1379877.02</v>
      </c>
      <c r="E23" s="14" t="n">
        <f aca="false">SUM(E8:E22)</f>
        <v>1837336.02666667</v>
      </c>
      <c r="G23" s="15" t="n">
        <f aca="false">SUM(G8:G22)</f>
        <v>1</v>
      </c>
    </row>
    <row r="25" customFormat="false" ht="12.75" hidden="false" customHeight="false" outlineLevel="0" collapsed="false">
      <c r="B25" s="13" t="s">
        <v>35</v>
      </c>
      <c r="C25" s="10"/>
      <c r="E25" s="16" t="n">
        <v>6</v>
      </c>
    </row>
    <row r="26" customFormat="false" ht="12.75" hidden="false" customHeight="false" outlineLevel="0" collapsed="false">
      <c r="C26" s="10"/>
      <c r="E26" s="10"/>
    </row>
    <row r="27" customFormat="false" ht="12.75" hidden="false" customHeight="false" outlineLevel="0" collapsed="false">
      <c r="B27" s="13" t="s">
        <v>36</v>
      </c>
      <c r="C27" s="10"/>
      <c r="E27" s="16" t="n">
        <v>5</v>
      </c>
    </row>
    <row r="28" customFormat="false" ht="12.75" hidden="false" customHeight="false" outlineLevel="0" collapsed="false">
      <c r="B28" s="13"/>
      <c r="C28" s="10"/>
      <c r="E28" s="10"/>
    </row>
    <row r="29" customFormat="false" ht="12.75" hidden="false" customHeight="false" outlineLevel="0" collapsed="false">
      <c r="B29" s="13" t="s">
        <v>37</v>
      </c>
      <c r="C29" s="10"/>
      <c r="E29" s="16" t="n">
        <f aca="false">SUM(E25:E27)</f>
        <v>11</v>
      </c>
    </row>
    <row r="31" customFormat="false" ht="12.75" hidden="false" customHeight="false" outlineLevel="0" collapsed="false">
      <c r="A31" s="8" t="s">
        <v>38</v>
      </c>
      <c r="B31" s="9" t="s">
        <v>39</v>
      </c>
      <c r="C31" s="10" t="n">
        <f aca="false">'[5]Team Report'!BA29</f>
        <v>986513.84</v>
      </c>
      <c r="E31" s="10" t="n">
        <f aca="false">(C31/9)*12</f>
        <v>1315351.78666667</v>
      </c>
    </row>
    <row r="32" customFormat="false" ht="12.75" hidden="false" customHeight="false" outlineLevel="0" collapsed="false">
      <c r="A32" s="8" t="s">
        <v>40</v>
      </c>
      <c r="B32" s="9" t="s">
        <v>41</v>
      </c>
      <c r="C32" s="10" t="n">
        <f aca="false">'[5]Team Report'!BA30</f>
        <v>0</v>
      </c>
      <c r="E32" s="10" t="n">
        <f aca="false">(C32/9)*12</f>
        <v>0</v>
      </c>
    </row>
    <row r="33" customFormat="false" ht="12.75" hidden="false" customHeight="false" outlineLevel="0" collapsed="false">
      <c r="A33" s="8" t="s">
        <v>42</v>
      </c>
      <c r="B33" s="9" t="s">
        <v>43</v>
      </c>
      <c r="C33" s="10" t="n">
        <f aca="false">'[5]Team Report'!BA31</f>
        <v>0</v>
      </c>
      <c r="E33" s="10" t="n">
        <f aca="false">(C33/9)*12</f>
        <v>0</v>
      </c>
    </row>
    <row r="34" customFormat="false" ht="12.75" hidden="false" customHeight="false" outlineLevel="0" collapsed="false">
      <c r="A34" s="8" t="s">
        <v>44</v>
      </c>
      <c r="B34" s="9" t="s">
        <v>45</v>
      </c>
      <c r="C34" s="10" t="n">
        <f aca="false">'[5]Team Report'!BA39</f>
        <v>0</v>
      </c>
      <c r="E34" s="10" t="n">
        <f aca="false">(C34/9)*12</f>
        <v>0</v>
      </c>
    </row>
    <row r="35" customFormat="false" ht="12.75" hidden="false" customHeight="false" outlineLevel="0" collapsed="false">
      <c r="A35" s="8" t="s">
        <v>46</v>
      </c>
      <c r="B35" s="9" t="s">
        <v>47</v>
      </c>
      <c r="C35" s="10" t="n">
        <f aca="false">'[5]Team Report'!BA40</f>
        <v>29085.25</v>
      </c>
      <c r="E35" s="10" t="n">
        <f aca="false">(C35/9)*12</f>
        <v>38780.3333333333</v>
      </c>
    </row>
    <row r="36" customFormat="false" ht="12.75" hidden="false" customHeight="false" outlineLevel="0" collapsed="false">
      <c r="A36" s="8" t="s">
        <v>48</v>
      </c>
      <c r="B36" s="9" t="s">
        <v>49</v>
      </c>
      <c r="C36" s="10" t="n">
        <f aca="false">'[5]Team Report'!BA41</f>
        <v>36371.75</v>
      </c>
      <c r="E36" s="10" t="n">
        <f aca="false">(C36/9)*12</f>
        <v>48495.6666666667</v>
      </c>
    </row>
    <row r="37" customFormat="false" ht="12.75" hidden="false" customHeight="false" outlineLevel="0" collapsed="false">
      <c r="A37" s="8" t="s">
        <v>50</v>
      </c>
      <c r="B37" s="9" t="s">
        <v>51</v>
      </c>
      <c r="C37" s="10" t="n">
        <f aca="false">'[5]Team Report'!BA43</f>
        <v>29708.35</v>
      </c>
      <c r="E37" s="10" t="n">
        <f aca="false">(C37/9)*12</f>
        <v>39611.1333333333</v>
      </c>
    </row>
    <row r="38" customFormat="false" ht="12.75" hidden="false" customHeight="false" outlineLevel="0" collapsed="false">
      <c r="A38" s="8" t="s">
        <v>52</v>
      </c>
      <c r="B38" s="9" t="s">
        <v>53</v>
      </c>
      <c r="C38" s="10" t="n">
        <f aca="false">'[5]Team Report'!BA45</f>
        <v>0</v>
      </c>
      <c r="E38" s="10" t="n">
        <f aca="false">(C38/9)*12</f>
        <v>0</v>
      </c>
    </row>
    <row r="39" customFormat="false" ht="12.75" hidden="false" customHeight="false" outlineLevel="0" collapsed="false">
      <c r="B39" s="9" t="s">
        <v>58</v>
      </c>
      <c r="C39" s="10" t="n">
        <v>284961</v>
      </c>
      <c r="E39" s="10"/>
    </row>
    <row r="43" customFormat="false" ht="12.75" hidden="false" customHeight="false" outlineLevel="0" collapsed="false">
      <c r="C43" s="18" t="n">
        <f aca="false">C23+C31+C32+C33+C34+C35+C36+C37+C38</f>
        <v>2461556.21</v>
      </c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: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15.85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56"/>
  </cols>
  <sheetData>
    <row r="1" customFormat="false" ht="18" hidden="false" customHeight="false" outlineLevel="0" collapsed="false">
      <c r="B1" s="1" t="str">
        <f aca="false">'[6]Team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tr">
        <f aca="false">'[6]Pull Sheet'!E9</f>
        <v>Midwest Trading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3" t="n">
        <f aca="false">'[6]Team Report'!B3</f>
        <v>37135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6" t="s">
        <v>1</v>
      </c>
    </row>
    <row r="7" customFormat="false" ht="12.75" hidden="false" customHeight="false" outlineLevel="0" collapsed="false">
      <c r="C7" s="7" t="s">
        <v>2</v>
      </c>
      <c r="E7" s="7" t="s">
        <v>3</v>
      </c>
      <c r="G7" s="6" t="s">
        <v>4</v>
      </c>
    </row>
    <row r="8" customFormat="false" ht="12.75" hidden="false" customHeight="false" outlineLevel="0" collapsed="false">
      <c r="A8" s="8" t="s">
        <v>5</v>
      </c>
      <c r="B8" s="9" t="s">
        <v>6</v>
      </c>
      <c r="C8" s="10" t="n">
        <f aca="false">'[6]Team Report'!BA25-C9-56348</f>
        <v>742310.07</v>
      </c>
      <c r="E8" s="10" t="n">
        <f aca="false">(C8/9)*12</f>
        <v>989746.76</v>
      </c>
      <c r="G8" s="11" t="n">
        <f aca="false">E8/$E$23</f>
        <v>0.579523419302615</v>
      </c>
    </row>
    <row r="9" customFormat="false" ht="12.75" hidden="false" customHeight="false" outlineLevel="0" collapsed="false">
      <c r="A9" s="8"/>
      <c r="B9" s="9" t="s">
        <v>7</v>
      </c>
      <c r="C9" s="10" t="n">
        <v>100000</v>
      </c>
      <c r="E9" s="10" t="n">
        <f aca="false">C9</f>
        <v>100000</v>
      </c>
      <c r="G9" s="11" t="n">
        <f aca="false">E9/$E$23</f>
        <v>0.0585526967830251</v>
      </c>
    </row>
    <row r="10" customFormat="false" ht="12.75" hidden="false" customHeight="false" outlineLevel="0" collapsed="false">
      <c r="B10" s="9" t="s">
        <v>8</v>
      </c>
      <c r="C10" s="10" t="n">
        <f aca="false">56348+7902+137200+15558+4140</f>
        <v>221148</v>
      </c>
      <c r="E10" s="10" t="n">
        <f aca="false">(C10/9)*12</f>
        <v>294864</v>
      </c>
      <c r="G10" s="11" t="n">
        <f aca="false">E10/$E$23</f>
        <v>0.172650823842299</v>
      </c>
    </row>
    <row r="11" customFormat="false" ht="12.75" hidden="false" customHeight="false" outlineLevel="0" collapsed="false">
      <c r="A11" s="8" t="s">
        <v>9</v>
      </c>
      <c r="B11" s="9" t="s">
        <v>10</v>
      </c>
      <c r="C11" s="10" t="n">
        <f aca="false">'[6]Team Report'!BA26-7902-4140</f>
        <v>169144.2</v>
      </c>
      <c r="E11" s="10" t="n">
        <f aca="false">(C11/9)*12</f>
        <v>225525.6</v>
      </c>
      <c r="G11" s="11" t="n">
        <f aca="false">E11/$E$23</f>
        <v>0.132051320736098</v>
      </c>
    </row>
    <row r="12" customFormat="false" ht="12.75" hidden="false" customHeight="false" outlineLevel="0" collapsed="false">
      <c r="A12" s="8" t="s">
        <v>11</v>
      </c>
      <c r="B12" s="9" t="s">
        <v>12</v>
      </c>
      <c r="C12" s="10" t="n">
        <f aca="false">'[6]Team Report'!BA27</f>
        <v>16314.75</v>
      </c>
      <c r="E12" s="10" t="n">
        <f aca="false">(C12/9)*12</f>
        <v>21753</v>
      </c>
      <c r="G12" s="11" t="n">
        <f aca="false">E12/$E$23</f>
        <v>0.0127369681312114</v>
      </c>
    </row>
    <row r="13" customFormat="false" ht="12.75" hidden="false" customHeight="false" outlineLevel="0" collapsed="false">
      <c r="A13" s="8" t="s">
        <v>13</v>
      </c>
      <c r="B13" s="9" t="s">
        <v>14</v>
      </c>
      <c r="C13" s="10" t="n">
        <f aca="false">'[6]Team Report'!BA28-C39</f>
        <v>35684.49</v>
      </c>
      <c r="E13" s="10" t="n">
        <f aca="false">(C13/9)*12</f>
        <v>47579.32</v>
      </c>
      <c r="G13" s="11" t="n">
        <f aca="false">E13/$E$23</f>
        <v>0.0278589749710252</v>
      </c>
    </row>
    <row r="14" customFormat="false" ht="12.75" hidden="false" customHeight="false" outlineLevel="0" collapsed="false">
      <c r="A14" s="8" t="s">
        <v>15</v>
      </c>
      <c r="B14" s="9" t="s">
        <v>16</v>
      </c>
      <c r="C14" s="10" t="n">
        <f aca="false">'[6]Team Report'!BA32</f>
        <v>12093.23</v>
      </c>
      <c r="E14" s="10" t="n">
        <f aca="false">(C14/9)*12</f>
        <v>16124.3066666667</v>
      </c>
      <c r="G14" s="11" t="n">
        <f aca="false">E14/$E$23</f>
        <v>0.00944121639089843</v>
      </c>
    </row>
    <row r="15" customFormat="false" ht="12.75" hidden="false" customHeight="false" outlineLevel="0" collapsed="false">
      <c r="A15" s="8" t="s">
        <v>17</v>
      </c>
      <c r="B15" s="9" t="s">
        <v>18</v>
      </c>
      <c r="C15" s="10" t="n">
        <f aca="false">'[6]Team Report'!BA33</f>
        <v>578.05</v>
      </c>
      <c r="E15" s="10" t="n">
        <f aca="false">(C15/9)*12</f>
        <v>770.733333333333</v>
      </c>
      <c r="G15" s="11" t="n">
        <f aca="false">E15/$E$23</f>
        <v>0.000451285151672369</v>
      </c>
    </row>
    <row r="16" customFormat="false" ht="12.75" hidden="false" customHeight="false" outlineLevel="0" collapsed="false">
      <c r="A16" s="8" t="s">
        <v>19</v>
      </c>
      <c r="B16" s="9" t="s">
        <v>20</v>
      </c>
      <c r="C16" s="10" t="n">
        <f aca="false">'[6]Team Report'!BA34</f>
        <v>0</v>
      </c>
      <c r="E16" s="10" t="n">
        <f aca="false">(C16/9)*12</f>
        <v>0</v>
      </c>
      <c r="G16" s="11" t="n">
        <f aca="false">E16/$E$23</f>
        <v>0</v>
      </c>
    </row>
    <row r="17" customFormat="false" ht="12.75" hidden="false" customHeight="false" outlineLevel="0" collapsed="false">
      <c r="A17" s="8" t="s">
        <v>21</v>
      </c>
      <c r="B17" s="9" t="s">
        <v>22</v>
      </c>
      <c r="C17" s="10" t="n">
        <f aca="false">'[6]Team Report'!BA35</f>
        <v>0</v>
      </c>
      <c r="E17" s="10" t="n">
        <f aca="false">(C17/9)*12</f>
        <v>0</v>
      </c>
      <c r="G17" s="11" t="n">
        <f aca="false">E17/$E$23</f>
        <v>0</v>
      </c>
    </row>
    <row r="18" customFormat="false" ht="12.75" hidden="false" customHeight="false" outlineLevel="0" collapsed="false">
      <c r="A18" s="8" t="s">
        <v>23</v>
      </c>
      <c r="B18" s="9" t="s">
        <v>24</v>
      </c>
      <c r="C18" s="10" t="n">
        <f aca="false">'[6]Team Report'!BA36</f>
        <v>0</v>
      </c>
      <c r="E18" s="10" t="n">
        <f aca="false">(C18/9)*12</f>
        <v>0</v>
      </c>
      <c r="G18" s="11" t="n">
        <f aca="false">E18/$E$23</f>
        <v>0</v>
      </c>
    </row>
    <row r="19" customFormat="false" ht="12.75" hidden="false" customHeight="false" outlineLevel="0" collapsed="false">
      <c r="A19" s="8" t="s">
        <v>25</v>
      </c>
      <c r="B19" s="9" t="s">
        <v>26</v>
      </c>
      <c r="C19" s="10" t="n">
        <f aca="false">'[6]Team Report'!BA37</f>
        <v>5658.16</v>
      </c>
      <c r="E19" s="10" t="n">
        <f aca="false">(C19/9)*12</f>
        <v>7544.21333333333</v>
      </c>
      <c r="G19" s="11" t="n">
        <f aca="false">E19/$E$23</f>
        <v>0.00441734035773121</v>
      </c>
    </row>
    <row r="20" customFormat="false" ht="12.75" hidden="false" customHeight="false" outlineLevel="0" collapsed="false">
      <c r="A20" s="8" t="s">
        <v>27</v>
      </c>
      <c r="B20" s="9" t="s">
        <v>28</v>
      </c>
      <c r="C20" s="10" t="n">
        <f aca="false">'[6]Team Report'!BA38</f>
        <v>0</v>
      </c>
      <c r="E20" s="10" t="n">
        <f aca="false">(C20/9)*12</f>
        <v>0</v>
      </c>
      <c r="G20" s="11" t="n">
        <f aca="false">E20/$E$23</f>
        <v>0</v>
      </c>
    </row>
    <row r="21" customFormat="false" ht="12.75" hidden="false" customHeight="false" outlineLevel="0" collapsed="false">
      <c r="A21" s="8" t="s">
        <v>29</v>
      </c>
      <c r="B21" s="9" t="s">
        <v>30</v>
      </c>
      <c r="C21" s="10" t="n">
        <f aca="false">'[6]Team Report'!BA42-137200-15558</f>
        <v>2821.62</v>
      </c>
      <c r="E21" s="10" t="n">
        <f aca="false">(C21/9)*12</f>
        <v>3762.15999999999</v>
      </c>
      <c r="G21" s="11" t="n">
        <f aca="false">E21/$E$23</f>
        <v>0.00220284613729225</v>
      </c>
    </row>
    <row r="22" customFormat="false" ht="12.75" hidden="false" customHeight="false" outlineLevel="0" collapsed="false">
      <c r="A22" s="8" t="s">
        <v>31</v>
      </c>
      <c r="B22" s="9" t="s">
        <v>32</v>
      </c>
      <c r="C22" s="10" t="n">
        <f aca="false">'[6]Team Report'!BA44</f>
        <v>144.88</v>
      </c>
      <c r="E22" s="10" t="n">
        <f aca="false">(C22/9)*12</f>
        <v>193.173333333333</v>
      </c>
      <c r="G22" s="11" t="n">
        <f aca="false">E22/$E$23</f>
        <v>0.000113108196132329</v>
      </c>
    </row>
    <row r="23" customFormat="false" ht="12.75" hidden="false" customHeight="false" outlineLevel="0" collapsed="false">
      <c r="A23" s="12" t="s">
        <v>33</v>
      </c>
      <c r="B23" s="13" t="s">
        <v>34</v>
      </c>
      <c r="C23" s="14" t="n">
        <f aca="false">SUM(C8:C22)</f>
        <v>1305897.45</v>
      </c>
      <c r="E23" s="14" t="n">
        <f aca="false">SUM(E8:E22)</f>
        <v>1707863.26666667</v>
      </c>
      <c r="G23" s="15" t="n">
        <f aca="false">SUM(G8:G22)</f>
        <v>1</v>
      </c>
    </row>
    <row r="25" customFormat="false" ht="12.75" hidden="false" customHeight="false" outlineLevel="0" collapsed="false">
      <c r="B25" s="13" t="s">
        <v>35</v>
      </c>
      <c r="C25" s="10"/>
      <c r="E25" s="16" t="n">
        <f aca="false">8+2</f>
        <v>10</v>
      </c>
    </row>
    <row r="26" customFormat="false" ht="12.75" hidden="false" customHeight="false" outlineLevel="0" collapsed="false">
      <c r="C26" s="10"/>
      <c r="E26" s="10"/>
    </row>
    <row r="27" customFormat="false" ht="12.75" hidden="false" customHeight="false" outlineLevel="0" collapsed="false">
      <c r="B27" s="13" t="s">
        <v>36</v>
      </c>
      <c r="C27" s="10"/>
      <c r="E27" s="16" t="n">
        <v>2</v>
      </c>
    </row>
    <row r="28" customFormat="false" ht="12.75" hidden="false" customHeight="false" outlineLevel="0" collapsed="false">
      <c r="B28" s="13"/>
      <c r="C28" s="10"/>
      <c r="E28" s="10"/>
    </row>
    <row r="29" customFormat="false" ht="12.75" hidden="false" customHeight="false" outlineLevel="0" collapsed="false">
      <c r="B29" s="13" t="s">
        <v>37</v>
      </c>
      <c r="C29" s="10"/>
      <c r="E29" s="16" t="n">
        <f aca="false">SUM(E25:E27)</f>
        <v>12</v>
      </c>
    </row>
    <row r="31" customFormat="false" ht="12.75" hidden="false" customHeight="false" outlineLevel="0" collapsed="false">
      <c r="A31" s="8" t="s">
        <v>38</v>
      </c>
      <c r="B31" s="9" t="s">
        <v>39</v>
      </c>
      <c r="C31" s="10" t="n">
        <f aca="false">'[6]Team Report'!BA29</f>
        <v>0</v>
      </c>
      <c r="E31" s="10" t="n">
        <f aca="false">(C31/9)*12</f>
        <v>0</v>
      </c>
    </row>
    <row r="32" customFormat="false" ht="12.75" hidden="false" customHeight="false" outlineLevel="0" collapsed="false">
      <c r="A32" s="8" t="s">
        <v>40</v>
      </c>
      <c r="B32" s="9" t="s">
        <v>41</v>
      </c>
      <c r="C32" s="10" t="n">
        <f aca="false">'[6]Team Report'!BA30</f>
        <v>0</v>
      </c>
      <c r="E32" s="10" t="n">
        <f aca="false">(C32/9)*12</f>
        <v>0</v>
      </c>
    </row>
    <row r="33" customFormat="false" ht="12.75" hidden="false" customHeight="false" outlineLevel="0" collapsed="false">
      <c r="A33" s="8" t="s">
        <v>42</v>
      </c>
      <c r="B33" s="9" t="s">
        <v>43</v>
      </c>
      <c r="C33" s="10" t="n">
        <f aca="false">'[6]Team Report'!BA31</f>
        <v>0</v>
      </c>
      <c r="E33" s="10" t="n">
        <f aca="false">(C33/9)*12</f>
        <v>0</v>
      </c>
    </row>
    <row r="34" customFormat="false" ht="12.75" hidden="false" customHeight="false" outlineLevel="0" collapsed="false">
      <c r="A34" s="8" t="s">
        <v>44</v>
      </c>
      <c r="B34" s="9" t="s">
        <v>45</v>
      </c>
      <c r="C34" s="10" t="n">
        <f aca="false">'[6]Team Report'!BA39</f>
        <v>0</v>
      </c>
      <c r="E34" s="10" t="n">
        <f aca="false">(C34/9)*12</f>
        <v>0</v>
      </c>
    </row>
    <row r="35" customFormat="false" ht="12.75" hidden="false" customHeight="false" outlineLevel="0" collapsed="false">
      <c r="A35" s="8" t="s">
        <v>46</v>
      </c>
      <c r="B35" s="9" t="s">
        <v>47</v>
      </c>
      <c r="C35" s="10" t="n">
        <f aca="false">'[6]Team Report'!BA40</f>
        <v>25630.5</v>
      </c>
      <c r="E35" s="10" t="n">
        <f aca="false">(C35/9)*12</f>
        <v>34174</v>
      </c>
    </row>
    <row r="36" customFormat="false" ht="12.75" hidden="false" customHeight="false" outlineLevel="0" collapsed="false">
      <c r="A36" s="8" t="s">
        <v>48</v>
      </c>
      <c r="B36" s="9" t="s">
        <v>49</v>
      </c>
      <c r="C36" s="10" t="n">
        <f aca="false">'[6]Team Report'!BA41</f>
        <v>30375.8</v>
      </c>
      <c r="E36" s="10" t="n">
        <f aca="false">(C36/9)*12</f>
        <v>40501.0666666667</v>
      </c>
    </row>
    <row r="37" customFormat="false" ht="12.75" hidden="false" customHeight="false" outlineLevel="0" collapsed="false">
      <c r="A37" s="8" t="s">
        <v>50</v>
      </c>
      <c r="B37" s="9" t="s">
        <v>51</v>
      </c>
      <c r="C37" s="10" t="n">
        <f aca="false">'[6]Team Report'!BA43</f>
        <v>0</v>
      </c>
      <c r="E37" s="10" t="n">
        <f aca="false">(C37/9)*12</f>
        <v>0</v>
      </c>
    </row>
    <row r="38" customFormat="false" ht="12.75" hidden="false" customHeight="false" outlineLevel="0" collapsed="false">
      <c r="A38" s="8" t="s">
        <v>52</v>
      </c>
      <c r="B38" s="9" t="s">
        <v>53</v>
      </c>
      <c r="C38" s="10" t="n">
        <f aca="false">'[6]Team Report'!BA45</f>
        <v>0</v>
      </c>
      <c r="E38" s="10" t="n">
        <f aca="false">(C38/9)*12</f>
        <v>0</v>
      </c>
    </row>
    <row r="39" customFormat="false" ht="12.75" hidden="false" customHeight="false" outlineLevel="0" collapsed="false">
      <c r="B39" s="9" t="s">
        <v>59</v>
      </c>
      <c r="C39" s="10" t="n">
        <v>11696</v>
      </c>
      <c r="E39" s="10"/>
    </row>
    <row r="43" customFormat="false" ht="12.75" hidden="false" customHeight="false" outlineLevel="0" collapsed="false">
      <c r="C43" s="18" t="n">
        <f aca="false">C23+C31+C32+C33+C34+C35+C36+C37+C38</f>
        <v>1361903.75</v>
      </c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: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17.99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56"/>
  </cols>
  <sheetData>
    <row r="1" customFormat="false" ht="18" hidden="false" customHeight="false" outlineLevel="0" collapsed="false">
      <c r="B1" s="1" t="str">
        <f aca="false">'[7]Team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tr">
        <f aca="false">'[7]Pull Sheet'!E9</f>
        <v>Midwest Origination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3" t="n">
        <f aca="false">'[7]Team Report'!B3</f>
        <v>37135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6" t="s">
        <v>1</v>
      </c>
    </row>
    <row r="7" customFormat="false" ht="12.75" hidden="false" customHeight="false" outlineLevel="0" collapsed="false">
      <c r="C7" s="7" t="s">
        <v>2</v>
      </c>
      <c r="E7" s="7" t="s">
        <v>3</v>
      </c>
      <c r="G7" s="6" t="s">
        <v>4</v>
      </c>
    </row>
    <row r="8" customFormat="false" ht="12.75" hidden="false" customHeight="false" outlineLevel="0" collapsed="false">
      <c r="A8" s="8" t="s">
        <v>5</v>
      </c>
      <c r="B8" s="9" t="s">
        <v>6</v>
      </c>
      <c r="C8" s="10" t="n">
        <f aca="false">'[7]Team Report'!BA25-67500</f>
        <v>677169.81</v>
      </c>
      <c r="E8" s="10" t="n">
        <f aca="false">(C8/9)*12</f>
        <v>902893.08</v>
      </c>
      <c r="G8" s="11" t="n">
        <f aca="false">E8/$E$23</f>
        <v>0.508096978608276</v>
      </c>
    </row>
    <row r="9" customFormat="false" ht="12.75" hidden="false" customHeight="false" outlineLevel="0" collapsed="false">
      <c r="A9" s="8"/>
      <c r="B9" s="9" t="s">
        <v>7</v>
      </c>
      <c r="C9" s="10" t="n">
        <v>250000</v>
      </c>
      <c r="E9" s="10" t="n">
        <f aca="false">C9</f>
        <v>250000</v>
      </c>
      <c r="G9" s="11" t="n">
        <f aca="false">E9/$E$23</f>
        <v>0.140685810386396</v>
      </c>
    </row>
    <row r="10" customFormat="false" ht="12.75" hidden="false" customHeight="false" outlineLevel="0" collapsed="false">
      <c r="B10" s="9" t="s">
        <v>8</v>
      </c>
      <c r="C10" s="10" t="n">
        <f aca="false">67500+11232+89300+14517+5805</f>
        <v>188354</v>
      </c>
      <c r="E10" s="10" t="n">
        <f aca="false">(C10/9)*12</f>
        <v>251138.666666667</v>
      </c>
      <c r="G10" s="11" t="n">
        <f aca="false">E10/$E$23</f>
        <v>0.141326587357436</v>
      </c>
    </row>
    <row r="11" customFormat="false" ht="12.75" hidden="false" customHeight="false" outlineLevel="0" collapsed="false">
      <c r="A11" s="8" t="s">
        <v>9</v>
      </c>
      <c r="B11" s="9" t="s">
        <v>10</v>
      </c>
      <c r="C11" s="10" t="n">
        <f aca="false">'[7]Team Report'!BA26-11232-5805</f>
        <v>120189.64</v>
      </c>
      <c r="E11" s="10" t="n">
        <f aca="false">(C11/9)*12</f>
        <v>160252.853333333</v>
      </c>
      <c r="G11" s="11" t="n">
        <f aca="false">E11/$E$23</f>
        <v>0.090181210151729</v>
      </c>
    </row>
    <row r="12" customFormat="false" ht="12.75" hidden="false" customHeight="false" outlineLevel="0" collapsed="false">
      <c r="A12" s="8" t="s">
        <v>11</v>
      </c>
      <c r="B12" s="9" t="s">
        <v>12</v>
      </c>
      <c r="C12" s="10" t="n">
        <f aca="false">'[7]Team Report'!BA27-6712.5-7658</f>
        <v>29402.57</v>
      </c>
      <c r="E12" s="10" t="n">
        <f aca="false">(C12/9)*12</f>
        <v>39203.4266666667</v>
      </c>
      <c r="G12" s="11" t="n">
        <f aca="false">E12/$E$23</f>
        <v>0.0220614634020946</v>
      </c>
    </row>
    <row r="13" customFormat="false" ht="12.75" hidden="false" customHeight="false" outlineLevel="0" collapsed="false">
      <c r="A13" s="8" t="s">
        <v>13</v>
      </c>
      <c r="B13" s="9" t="s">
        <v>14</v>
      </c>
      <c r="C13" s="10" t="n">
        <f aca="false">'[7]Team Report'!BA28-22655</f>
        <v>92160.45</v>
      </c>
      <c r="E13" s="10" t="n">
        <f aca="false">(C13/9)*12</f>
        <v>122880.6</v>
      </c>
      <c r="G13" s="11" t="n">
        <f aca="false">E13/$E$23</f>
        <v>0.0691502271670662</v>
      </c>
    </row>
    <row r="14" customFormat="false" ht="12.75" hidden="false" customHeight="false" outlineLevel="0" collapsed="false">
      <c r="A14" s="8" t="s">
        <v>15</v>
      </c>
      <c r="B14" s="9" t="s">
        <v>16</v>
      </c>
      <c r="C14" s="10" t="n">
        <f aca="false">'[7]Team Report'!BA32</f>
        <v>242.05</v>
      </c>
      <c r="E14" s="10" t="n">
        <f aca="false">(C14/9)*12</f>
        <v>322.733333333333</v>
      </c>
      <c r="G14" s="11" t="n">
        <f aca="false">E14/$E$23</f>
        <v>0.000181616002154811</v>
      </c>
    </row>
    <row r="15" customFormat="false" ht="12.75" hidden="false" customHeight="false" outlineLevel="0" collapsed="false">
      <c r="A15" s="8" t="s">
        <v>17</v>
      </c>
      <c r="B15" s="9" t="s">
        <v>18</v>
      </c>
      <c r="C15" s="10" t="n">
        <f aca="false">'[7]Team Report'!BA33</f>
        <v>9557.08</v>
      </c>
      <c r="E15" s="10" t="n">
        <f aca="false">(C15/9)*12</f>
        <v>12742.7733333333</v>
      </c>
      <c r="G15" s="11" t="n">
        <f aca="false">E15/$E$23</f>
        <v>0.00717090957188062</v>
      </c>
    </row>
    <row r="16" customFormat="false" ht="12.75" hidden="false" customHeight="false" outlineLevel="0" collapsed="false">
      <c r="A16" s="8" t="s">
        <v>19</v>
      </c>
      <c r="B16" s="9" t="s">
        <v>20</v>
      </c>
      <c r="C16" s="10" t="n">
        <f aca="false">'[7]Team Report'!BA34</f>
        <v>0</v>
      </c>
      <c r="E16" s="10" t="n">
        <f aca="false">(C16/9)*12</f>
        <v>0</v>
      </c>
      <c r="G16" s="11" t="n">
        <f aca="false">E16/$E$23</f>
        <v>0</v>
      </c>
    </row>
    <row r="17" customFormat="false" ht="12.75" hidden="false" customHeight="false" outlineLevel="0" collapsed="false">
      <c r="A17" s="8" t="s">
        <v>21</v>
      </c>
      <c r="B17" s="9" t="s">
        <v>22</v>
      </c>
      <c r="C17" s="10" t="n">
        <f aca="false">'[7]Team Report'!BA35</f>
        <v>0</v>
      </c>
      <c r="E17" s="10" t="n">
        <f aca="false">(C17/9)*12</f>
        <v>0</v>
      </c>
      <c r="G17" s="11" t="n">
        <f aca="false">E17/$E$23</f>
        <v>0</v>
      </c>
    </row>
    <row r="18" customFormat="false" ht="12.75" hidden="false" customHeight="false" outlineLevel="0" collapsed="false">
      <c r="A18" s="8" t="s">
        <v>23</v>
      </c>
      <c r="B18" s="9" t="s">
        <v>24</v>
      </c>
      <c r="C18" s="10" t="n">
        <f aca="false">'[7]Team Report'!BA36</f>
        <v>158.21</v>
      </c>
      <c r="E18" s="10" t="n">
        <f aca="false">(C18/9)*12</f>
        <v>210.946666666667</v>
      </c>
      <c r="G18" s="11" t="n">
        <f aca="false">E18/$E$23</f>
        <v>0.000118708810993236</v>
      </c>
    </row>
    <row r="19" customFormat="false" ht="12.75" hidden="false" customHeight="false" outlineLevel="0" collapsed="false">
      <c r="A19" s="8" t="s">
        <v>25</v>
      </c>
      <c r="B19" s="9" t="s">
        <v>26</v>
      </c>
      <c r="C19" s="10" t="n">
        <f aca="false">'[7]Team Report'!BA37</f>
        <v>9885.14</v>
      </c>
      <c r="E19" s="10" t="n">
        <f aca="false">(C19/9)*12</f>
        <v>13180.1866666667</v>
      </c>
      <c r="G19" s="11" t="n">
        <f aca="false">E19/$E$23</f>
        <v>0.00741706096897588</v>
      </c>
    </row>
    <row r="20" customFormat="false" ht="12.75" hidden="false" customHeight="false" outlineLevel="0" collapsed="false">
      <c r="A20" s="8" t="s">
        <v>27</v>
      </c>
      <c r="B20" s="9" t="s">
        <v>28</v>
      </c>
      <c r="C20" s="10" t="n">
        <f aca="false">'[7]Team Report'!BA38</f>
        <v>20.9</v>
      </c>
      <c r="E20" s="10" t="n">
        <f aca="false">(C20/9)*12</f>
        <v>27.8666666666667</v>
      </c>
      <c r="G20" s="11" t="n">
        <f aca="false">E20/$E$23</f>
        <v>1.56817783310703E-005</v>
      </c>
    </row>
    <row r="21" customFormat="false" ht="12.75" hidden="false" customHeight="false" outlineLevel="0" collapsed="false">
      <c r="A21" s="8" t="s">
        <v>29</v>
      </c>
      <c r="B21" s="9" t="s">
        <v>30</v>
      </c>
      <c r="C21" s="10" t="n">
        <f aca="false">'[7]Team Report'!BA42-89300-14517</f>
        <v>18010.46</v>
      </c>
      <c r="E21" s="10" t="n">
        <f aca="false">(C21/9)*12</f>
        <v>24013.9466666667</v>
      </c>
      <c r="G21" s="11" t="n">
        <f aca="false">E21/$E$23</f>
        <v>0.0135136861895028</v>
      </c>
    </row>
    <row r="22" customFormat="false" ht="12.75" hidden="false" customHeight="false" outlineLevel="0" collapsed="false">
      <c r="A22" s="8" t="s">
        <v>31</v>
      </c>
      <c r="B22" s="9" t="s">
        <v>32</v>
      </c>
      <c r="C22" s="10" t="n">
        <f aca="false">'[7]Team Report'!BA44</f>
        <v>106.7</v>
      </c>
      <c r="E22" s="10" t="n">
        <f aca="false">(C22/9)*12</f>
        <v>142.266666666667</v>
      </c>
      <c r="G22" s="11" t="n">
        <f aca="false">E22/$E$23</f>
        <v>8.00596051638851E-005</v>
      </c>
    </row>
    <row r="23" customFormat="false" ht="12.75" hidden="false" customHeight="false" outlineLevel="0" collapsed="false">
      <c r="A23" s="12" t="s">
        <v>33</v>
      </c>
      <c r="B23" s="13" t="s">
        <v>34</v>
      </c>
      <c r="C23" s="14" t="n">
        <f aca="false">SUM(C8:C22)</f>
        <v>1395257.01</v>
      </c>
      <c r="E23" s="14" t="n">
        <f aca="false">SUM(E8:E22)</f>
        <v>1777009.34666667</v>
      </c>
      <c r="G23" s="15" t="n">
        <f aca="false">SUM(G8:G22)</f>
        <v>1</v>
      </c>
    </row>
    <row r="25" customFormat="false" ht="12.75" hidden="false" customHeight="false" outlineLevel="0" collapsed="false">
      <c r="B25" s="13" t="s">
        <v>35</v>
      </c>
      <c r="C25" s="10"/>
      <c r="E25" s="16" t="n">
        <v>7</v>
      </c>
    </row>
    <row r="26" customFormat="false" ht="12.75" hidden="false" customHeight="false" outlineLevel="0" collapsed="false">
      <c r="C26" s="10"/>
      <c r="E26" s="10"/>
    </row>
    <row r="27" customFormat="false" ht="12.75" hidden="false" customHeight="false" outlineLevel="0" collapsed="false">
      <c r="B27" s="13" t="s">
        <v>36</v>
      </c>
      <c r="C27" s="10"/>
      <c r="E27" s="16" t="n">
        <v>3</v>
      </c>
    </row>
    <row r="28" customFormat="false" ht="12.75" hidden="false" customHeight="false" outlineLevel="0" collapsed="false">
      <c r="B28" s="13"/>
      <c r="C28" s="10"/>
      <c r="E28" s="10"/>
    </row>
    <row r="29" customFormat="false" ht="12.75" hidden="false" customHeight="false" outlineLevel="0" collapsed="false">
      <c r="B29" s="13" t="s">
        <v>37</v>
      </c>
      <c r="C29" s="10"/>
      <c r="E29" s="16" t="n">
        <f aca="false">SUM(E25:E27)</f>
        <v>10</v>
      </c>
    </row>
    <row r="31" customFormat="false" ht="12.75" hidden="false" customHeight="false" outlineLevel="0" collapsed="false">
      <c r="A31" s="8" t="s">
        <v>38</v>
      </c>
      <c r="B31" s="9" t="s">
        <v>39</v>
      </c>
      <c r="C31" s="10" t="n">
        <f aca="false">'[7]Team Report'!BA29</f>
        <v>0</v>
      </c>
      <c r="E31" s="10" t="n">
        <f aca="false">(C31/9)*12</f>
        <v>0</v>
      </c>
    </row>
    <row r="32" customFormat="false" ht="12.75" hidden="false" customHeight="false" outlineLevel="0" collapsed="false">
      <c r="A32" s="8" t="s">
        <v>40</v>
      </c>
      <c r="B32" s="9" t="s">
        <v>41</v>
      </c>
      <c r="C32" s="10" t="n">
        <f aca="false">'[7]Team Report'!BA30</f>
        <v>0</v>
      </c>
      <c r="E32" s="10" t="n">
        <f aca="false">(C32/9)*12</f>
        <v>0</v>
      </c>
    </row>
    <row r="33" customFormat="false" ht="12.75" hidden="false" customHeight="false" outlineLevel="0" collapsed="false">
      <c r="A33" s="8" t="s">
        <v>42</v>
      </c>
      <c r="B33" s="9" t="s">
        <v>43</v>
      </c>
      <c r="C33" s="10" t="n">
        <f aca="false">'[7]Team Report'!BA31</f>
        <v>0</v>
      </c>
      <c r="E33" s="10" t="n">
        <f aca="false">(C33/9)*12</f>
        <v>0</v>
      </c>
    </row>
    <row r="34" customFormat="false" ht="12.75" hidden="false" customHeight="false" outlineLevel="0" collapsed="false">
      <c r="A34" s="8" t="s">
        <v>44</v>
      </c>
      <c r="B34" s="9" t="s">
        <v>45</v>
      </c>
      <c r="C34" s="10" t="n">
        <f aca="false">'[7]Team Report'!BA39</f>
        <v>0</v>
      </c>
      <c r="E34" s="10" t="n">
        <f aca="false">(C34/9)*12</f>
        <v>0</v>
      </c>
    </row>
    <row r="35" customFormat="false" ht="12.75" hidden="false" customHeight="false" outlineLevel="0" collapsed="false">
      <c r="A35" s="8" t="s">
        <v>46</v>
      </c>
      <c r="B35" s="9" t="s">
        <v>47</v>
      </c>
      <c r="C35" s="10" t="n">
        <f aca="false">'[7]Team Report'!BA40</f>
        <v>18344.88</v>
      </c>
      <c r="E35" s="10" t="n">
        <f aca="false">(C35/9)*12</f>
        <v>24459.84</v>
      </c>
    </row>
    <row r="36" customFormat="false" ht="12.75" hidden="false" customHeight="false" outlineLevel="0" collapsed="false">
      <c r="A36" s="8" t="s">
        <v>48</v>
      </c>
      <c r="B36" s="9" t="s">
        <v>49</v>
      </c>
      <c r="C36" s="10" t="n">
        <f aca="false">'[7]Team Report'!BA41</f>
        <v>34560.49</v>
      </c>
      <c r="E36" s="10" t="n">
        <f aca="false">(C36/9)*12</f>
        <v>46080.6533333333</v>
      </c>
    </row>
    <row r="37" customFormat="false" ht="12.75" hidden="false" customHeight="false" outlineLevel="0" collapsed="false">
      <c r="A37" s="8" t="s">
        <v>50</v>
      </c>
      <c r="B37" s="9" t="s">
        <v>51</v>
      </c>
      <c r="C37" s="10" t="n">
        <f aca="false">'[7]Team Report'!BA43</f>
        <v>0</v>
      </c>
      <c r="E37" s="10" t="n">
        <f aca="false">(C37/9)*12</f>
        <v>0</v>
      </c>
    </row>
    <row r="38" customFormat="false" ht="12.75" hidden="false" customHeight="false" outlineLevel="0" collapsed="false">
      <c r="A38" s="8" t="s">
        <v>52</v>
      </c>
      <c r="B38" s="9" t="s">
        <v>53</v>
      </c>
      <c r="C38" s="10" t="n">
        <f aca="false">'[7]Team Report'!BA45</f>
        <v>0</v>
      </c>
      <c r="E38" s="10" t="n">
        <f aca="false">(C38/9)*12</f>
        <v>0</v>
      </c>
    </row>
    <row r="39" customFormat="false" ht="12.75" hidden="false" customHeight="false" outlineLevel="0" collapsed="false">
      <c r="B39" s="9" t="s">
        <v>60</v>
      </c>
      <c r="C39" s="10" t="n">
        <f aca="false">6712+7658+22655</f>
        <v>37025</v>
      </c>
      <c r="E39" s="10" t="n">
        <v>37025</v>
      </c>
    </row>
    <row r="43" customFormat="false" ht="12.75" hidden="false" customHeight="false" outlineLevel="0" collapsed="false">
      <c r="C43" s="18" t="n">
        <f aca="false">C23+C31+C32+C33+C34+C35+C36+C37+C38</f>
        <v>1448162.38</v>
      </c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: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20.41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56"/>
  </cols>
  <sheetData>
    <row r="1" customFormat="false" ht="18" hidden="false" customHeight="false" outlineLevel="0" collapsed="false">
      <c r="B1" s="1" t="str">
        <f aca="false">'[8]Team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tr">
        <f aca="false">'[8]Pull Sheet'!E9</f>
        <v>Northeast Trading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3" t="n">
        <f aca="false">'[8]Team Report'!B3</f>
        <v>37135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6" t="s">
        <v>1</v>
      </c>
    </row>
    <row r="7" customFormat="false" ht="12.75" hidden="false" customHeight="false" outlineLevel="0" collapsed="false">
      <c r="C7" s="7" t="s">
        <v>2</v>
      </c>
      <c r="E7" s="7" t="s">
        <v>3</v>
      </c>
      <c r="G7" s="6" t="s">
        <v>4</v>
      </c>
    </row>
    <row r="8" customFormat="false" ht="12.75" hidden="false" customHeight="false" outlineLevel="0" collapsed="false">
      <c r="A8" s="8" t="s">
        <v>5</v>
      </c>
      <c r="B8" s="9" t="s">
        <v>6</v>
      </c>
      <c r="C8" s="10" t="n">
        <f aca="false">'[8]Team Report'!BA25-C9-38000</f>
        <v>903642.27</v>
      </c>
      <c r="E8" s="10" t="n">
        <f aca="false">(C8/9)*12</f>
        <v>1204856.36</v>
      </c>
      <c r="G8" s="11" t="n">
        <f aca="false">E8/$E$23</f>
        <v>0.527567594019506</v>
      </c>
    </row>
    <row r="9" customFormat="false" ht="12.75" hidden="false" customHeight="false" outlineLevel="0" collapsed="false">
      <c r="A9" s="8"/>
      <c r="B9" s="9" t="s">
        <v>7</v>
      </c>
      <c r="C9" s="10" t="n">
        <v>390000</v>
      </c>
      <c r="E9" s="10" t="n">
        <f aca="false">C9</f>
        <v>390000</v>
      </c>
      <c r="G9" s="11" t="n">
        <f aca="false">E9/$E$23</f>
        <v>0.17076837413848</v>
      </c>
    </row>
    <row r="10" customFormat="false" ht="12.75" hidden="false" customHeight="false" outlineLevel="0" collapsed="false">
      <c r="B10" s="9" t="s">
        <v>8</v>
      </c>
      <c r="C10" s="10" t="n">
        <f aca="false">38000+6534+171400+13026+3420</f>
        <v>232380</v>
      </c>
      <c r="E10" s="10" t="n">
        <f aca="false">(C10/9)*12</f>
        <v>309840</v>
      </c>
      <c r="G10" s="11" t="n">
        <f aca="false">E10/$E$23</f>
        <v>0.135668905238633</v>
      </c>
    </row>
    <row r="11" customFormat="false" ht="12.75" hidden="false" customHeight="false" outlineLevel="0" collapsed="false">
      <c r="A11" s="8" t="s">
        <v>9</v>
      </c>
      <c r="B11" s="9" t="s">
        <v>10</v>
      </c>
      <c r="C11" s="10" t="n">
        <f aca="false">'[8]Team Report'!BA26-6354-3420</f>
        <v>220674.42</v>
      </c>
      <c r="E11" s="10" t="n">
        <f aca="false">(C11/9)*12</f>
        <v>294232.56</v>
      </c>
      <c r="G11" s="11" t="n">
        <f aca="false">E11/$E$23</f>
        <v>0.128834912537956</v>
      </c>
    </row>
    <row r="12" customFormat="false" ht="12.75" hidden="false" customHeight="false" outlineLevel="0" collapsed="false">
      <c r="A12" s="8" t="s">
        <v>11</v>
      </c>
      <c r="B12" s="9" t="s">
        <v>12</v>
      </c>
      <c r="C12" s="10" t="n">
        <f aca="false">'[8]Team Report'!BA27</f>
        <v>25845.53</v>
      </c>
      <c r="E12" s="10" t="n">
        <f aca="false">(C12/9)*12</f>
        <v>34460.7066666667</v>
      </c>
      <c r="G12" s="11" t="n">
        <f aca="false">E12/$E$23</f>
        <v>0.0150892278182814</v>
      </c>
    </row>
    <row r="13" customFormat="false" ht="12.75" hidden="false" customHeight="false" outlineLevel="0" collapsed="false">
      <c r="A13" s="8" t="s">
        <v>13</v>
      </c>
      <c r="B13" s="9" t="s">
        <v>14</v>
      </c>
      <c r="C13" s="10" t="n">
        <f aca="false">'[8]Team Report'!BA28-C39-C40</f>
        <v>13971.93</v>
      </c>
      <c r="E13" s="10" t="n">
        <f aca="false">(C13/9)*12</f>
        <v>18629.24</v>
      </c>
      <c r="G13" s="11" t="n">
        <f aca="false">E13/$E$23</f>
        <v>0.00815714109291164</v>
      </c>
    </row>
    <row r="14" customFormat="false" ht="12.75" hidden="false" customHeight="false" outlineLevel="0" collapsed="false">
      <c r="A14" s="8" t="s">
        <v>15</v>
      </c>
      <c r="B14" s="9" t="s">
        <v>16</v>
      </c>
      <c r="C14" s="10" t="n">
        <f aca="false">'[8]Team Report'!BA32-C41</f>
        <v>0</v>
      </c>
      <c r="E14" s="10" t="n">
        <f aca="false">(C14/9)*12</f>
        <v>0</v>
      </c>
      <c r="G14" s="11" t="n">
        <f aca="false">E14/$E$23</f>
        <v>0</v>
      </c>
    </row>
    <row r="15" customFormat="false" ht="12.75" hidden="false" customHeight="false" outlineLevel="0" collapsed="false">
      <c r="A15" s="8" t="s">
        <v>17</v>
      </c>
      <c r="B15" s="9" t="s">
        <v>18</v>
      </c>
      <c r="C15" s="10" t="n">
        <f aca="false">'[8]Team Report'!BA33</f>
        <v>333.47</v>
      </c>
      <c r="E15" s="10" t="n">
        <f aca="false">(C15/9)*12</f>
        <v>444.626666666667</v>
      </c>
      <c r="G15" s="11" t="n">
        <f aca="false">E15/$E$23</f>
        <v>0.000194687622987894</v>
      </c>
    </row>
    <row r="16" customFormat="false" ht="12.75" hidden="false" customHeight="false" outlineLevel="0" collapsed="false">
      <c r="A16" s="8" t="s">
        <v>19</v>
      </c>
      <c r="B16" s="9" t="s">
        <v>20</v>
      </c>
      <c r="C16" s="10" t="n">
        <f aca="false">'[8]Team Report'!BA34</f>
        <v>0</v>
      </c>
      <c r="E16" s="10" t="n">
        <f aca="false">(C16/9)*12</f>
        <v>0</v>
      </c>
      <c r="G16" s="11" t="n">
        <f aca="false">E16/$E$23</f>
        <v>0</v>
      </c>
    </row>
    <row r="17" customFormat="false" ht="12.75" hidden="false" customHeight="false" outlineLevel="0" collapsed="false">
      <c r="A17" s="8" t="s">
        <v>21</v>
      </c>
      <c r="B17" s="9" t="s">
        <v>22</v>
      </c>
      <c r="C17" s="10" t="n">
        <f aca="false">'[8]Team Report'!BA35</f>
        <v>0</v>
      </c>
      <c r="E17" s="10" t="n">
        <f aca="false">(C17/9)*12</f>
        <v>0</v>
      </c>
      <c r="G17" s="11" t="n">
        <f aca="false">E17/$E$23</f>
        <v>0</v>
      </c>
    </row>
    <row r="18" customFormat="false" ht="12.75" hidden="false" customHeight="false" outlineLevel="0" collapsed="false">
      <c r="A18" s="8" t="s">
        <v>23</v>
      </c>
      <c r="B18" s="9" t="s">
        <v>24</v>
      </c>
      <c r="C18" s="10" t="n">
        <f aca="false">'[8]Team Report'!BA36</f>
        <v>0</v>
      </c>
      <c r="E18" s="10" t="n">
        <f aca="false">(C18/9)*12</f>
        <v>0</v>
      </c>
      <c r="G18" s="11" t="n">
        <f aca="false">E18/$E$23</f>
        <v>0</v>
      </c>
    </row>
    <row r="19" customFormat="false" ht="12.75" hidden="false" customHeight="false" outlineLevel="0" collapsed="false">
      <c r="A19" s="8" t="s">
        <v>25</v>
      </c>
      <c r="B19" s="9" t="s">
        <v>26</v>
      </c>
      <c r="C19" s="10" t="n">
        <f aca="false">'[8]Team Report'!BA37</f>
        <v>14862.38</v>
      </c>
      <c r="E19" s="10" t="n">
        <f aca="false">(C19/9)*12</f>
        <v>19816.5066666667</v>
      </c>
      <c r="G19" s="11" t="n">
        <f aca="false">E19/$E$23</f>
        <v>0.00867700672966928</v>
      </c>
    </row>
    <row r="20" customFormat="false" ht="12.75" hidden="false" customHeight="false" outlineLevel="0" collapsed="false">
      <c r="A20" s="8" t="s">
        <v>27</v>
      </c>
      <c r="B20" s="9" t="s">
        <v>28</v>
      </c>
      <c r="C20" s="10" t="n">
        <f aca="false">'[8]Team Report'!BA38</f>
        <v>0</v>
      </c>
      <c r="E20" s="10" t="n">
        <f aca="false">(C20/9)*12</f>
        <v>0</v>
      </c>
      <c r="G20" s="11" t="n">
        <f aca="false">E20/$E$23</f>
        <v>0</v>
      </c>
    </row>
    <row r="21" customFormat="false" ht="12.75" hidden="false" customHeight="false" outlineLevel="0" collapsed="false">
      <c r="A21" s="8" t="s">
        <v>29</v>
      </c>
      <c r="B21" s="9" t="s">
        <v>30</v>
      </c>
      <c r="C21" s="10" t="n">
        <f aca="false">'[8]Team Report'!BA42-171400-13026</f>
        <v>8467.47</v>
      </c>
      <c r="E21" s="10" t="n">
        <f aca="false">(C21/9)*12</f>
        <v>11289.96</v>
      </c>
      <c r="G21" s="11" t="n">
        <f aca="false">E21/$E$23</f>
        <v>0.00494350798279096</v>
      </c>
    </row>
    <row r="22" customFormat="false" ht="12.75" hidden="false" customHeight="false" outlineLevel="0" collapsed="false">
      <c r="A22" s="8" t="s">
        <v>31</v>
      </c>
      <c r="B22" s="9" t="s">
        <v>32</v>
      </c>
      <c r="C22" s="10" t="n">
        <f aca="false">'[8]Team Report'!BA44</f>
        <v>168.96</v>
      </c>
      <c r="E22" s="10" t="n">
        <f aca="false">(C22/9)*12</f>
        <v>225.28</v>
      </c>
      <c r="G22" s="11" t="n">
        <f aca="false">E22/$E$23</f>
        <v>9.86428187844021E-005</v>
      </c>
    </row>
    <row r="23" customFormat="false" ht="12.75" hidden="false" customHeight="false" outlineLevel="0" collapsed="false">
      <c r="A23" s="12" t="s">
        <v>33</v>
      </c>
      <c r="B23" s="13" t="s">
        <v>34</v>
      </c>
      <c r="C23" s="14" t="n">
        <f aca="false">SUM(C8:C22)</f>
        <v>1810346.43</v>
      </c>
      <c r="E23" s="14" t="n">
        <f aca="false">SUM(E8:E22)</f>
        <v>2283795.24</v>
      </c>
      <c r="G23" s="15" t="n">
        <f aca="false">SUM(G8:G22)</f>
        <v>1</v>
      </c>
    </row>
    <row r="25" customFormat="false" ht="12.75" hidden="false" customHeight="false" outlineLevel="0" collapsed="false">
      <c r="B25" s="13" t="s">
        <v>35</v>
      </c>
      <c r="C25" s="10"/>
      <c r="E25" s="16" t="n">
        <f aca="false">8+4</f>
        <v>12</v>
      </c>
    </row>
    <row r="26" customFormat="false" ht="12.75" hidden="false" customHeight="false" outlineLevel="0" collapsed="false">
      <c r="C26" s="10"/>
      <c r="E26" s="10"/>
    </row>
    <row r="27" customFormat="false" ht="12.75" hidden="false" customHeight="false" outlineLevel="0" collapsed="false">
      <c r="B27" s="13" t="s">
        <v>36</v>
      </c>
      <c r="C27" s="10"/>
      <c r="E27" s="16" t="n">
        <f aca="false">5+3</f>
        <v>8</v>
      </c>
    </row>
    <row r="28" customFormat="false" ht="12.75" hidden="false" customHeight="false" outlineLevel="0" collapsed="false">
      <c r="B28" s="13"/>
      <c r="C28" s="10"/>
      <c r="E28" s="10"/>
    </row>
    <row r="29" customFormat="false" ht="12.75" hidden="false" customHeight="false" outlineLevel="0" collapsed="false">
      <c r="B29" s="13" t="s">
        <v>37</v>
      </c>
      <c r="C29" s="10"/>
      <c r="E29" s="16" t="n">
        <f aca="false">SUM(E25:E27)</f>
        <v>20</v>
      </c>
    </row>
    <row r="31" customFormat="false" ht="12.75" hidden="false" customHeight="false" outlineLevel="0" collapsed="false">
      <c r="A31" s="8" t="s">
        <v>38</v>
      </c>
      <c r="B31" s="9" t="s">
        <v>39</v>
      </c>
      <c r="C31" s="10" t="n">
        <f aca="false">'[8]Team Report'!BA29</f>
        <v>104572.91</v>
      </c>
      <c r="E31" s="10" t="n">
        <f aca="false">(C31/9)*12</f>
        <v>139430.546666667</v>
      </c>
    </row>
    <row r="32" customFormat="false" ht="12.75" hidden="false" customHeight="false" outlineLevel="0" collapsed="false">
      <c r="A32" s="8" t="s">
        <v>40</v>
      </c>
      <c r="B32" s="9" t="s">
        <v>41</v>
      </c>
      <c r="C32" s="10" t="n">
        <f aca="false">'[8]Team Report'!BA30</f>
        <v>0</v>
      </c>
      <c r="E32" s="10" t="n">
        <f aca="false">(C32/9)*12</f>
        <v>0</v>
      </c>
    </row>
    <row r="33" customFormat="false" ht="12.75" hidden="false" customHeight="false" outlineLevel="0" collapsed="false">
      <c r="A33" s="8" t="s">
        <v>42</v>
      </c>
      <c r="B33" s="9" t="s">
        <v>43</v>
      </c>
      <c r="C33" s="10" t="n">
        <f aca="false">'[8]Team Report'!BA31</f>
        <v>0</v>
      </c>
      <c r="E33" s="10" t="n">
        <f aca="false">(C33/9)*12</f>
        <v>0</v>
      </c>
    </row>
    <row r="34" customFormat="false" ht="12.75" hidden="false" customHeight="false" outlineLevel="0" collapsed="false">
      <c r="A34" s="8" t="s">
        <v>44</v>
      </c>
      <c r="B34" s="9" t="s">
        <v>45</v>
      </c>
      <c r="C34" s="10" t="n">
        <f aca="false">'[8]Team Report'!BA39</f>
        <v>0</v>
      </c>
      <c r="E34" s="10" t="n">
        <f aca="false">(C34/9)*12</f>
        <v>0</v>
      </c>
    </row>
    <row r="35" customFormat="false" ht="12.75" hidden="false" customHeight="false" outlineLevel="0" collapsed="false">
      <c r="A35" s="8" t="s">
        <v>46</v>
      </c>
      <c r="B35" s="9" t="s">
        <v>47</v>
      </c>
      <c r="C35" s="10" t="n">
        <f aca="false">'[8]Team Report'!BA40</f>
        <v>61367.97</v>
      </c>
      <c r="E35" s="10" t="n">
        <f aca="false">(C35/9)*12</f>
        <v>81823.96</v>
      </c>
    </row>
    <row r="36" customFormat="false" ht="12.75" hidden="false" customHeight="false" outlineLevel="0" collapsed="false">
      <c r="A36" s="8" t="s">
        <v>48</v>
      </c>
      <c r="B36" s="9" t="s">
        <v>49</v>
      </c>
      <c r="C36" s="10" t="n">
        <f aca="false">'[8]Team Report'!BA41</f>
        <v>42996.39</v>
      </c>
      <c r="E36" s="10" t="n">
        <f aca="false">(C36/9)*12</f>
        <v>57328.52</v>
      </c>
    </row>
    <row r="37" customFormat="false" ht="12.75" hidden="false" customHeight="false" outlineLevel="0" collapsed="false">
      <c r="A37" s="8" t="s">
        <v>50</v>
      </c>
      <c r="B37" s="9" t="s">
        <v>51</v>
      </c>
      <c r="C37" s="10" t="n">
        <f aca="false">'[8]Team Report'!BA43</f>
        <v>0</v>
      </c>
      <c r="E37" s="10" t="n">
        <f aca="false">(C37/9)*12</f>
        <v>0</v>
      </c>
    </row>
    <row r="38" customFormat="false" ht="12.75" hidden="false" customHeight="false" outlineLevel="0" collapsed="false">
      <c r="A38" s="8" t="s">
        <v>52</v>
      </c>
      <c r="B38" s="9" t="s">
        <v>53</v>
      </c>
      <c r="C38" s="10" t="n">
        <f aca="false">'[8]Team Report'!BA45</f>
        <v>0</v>
      </c>
      <c r="E38" s="10" t="n">
        <f aca="false">(C38/9)*12</f>
        <v>0</v>
      </c>
    </row>
    <row r="39" customFormat="false" ht="12.75" hidden="false" customHeight="false" outlineLevel="0" collapsed="false">
      <c r="B39" s="9" t="s">
        <v>61</v>
      </c>
      <c r="C39" s="10" t="n">
        <v>21273</v>
      </c>
      <c r="E39" s="10"/>
    </row>
    <row r="40" customFormat="false" ht="12.75" hidden="false" customHeight="false" outlineLevel="0" collapsed="false">
      <c r="B40" s="9" t="s">
        <v>59</v>
      </c>
      <c r="C40" s="10" t="n">
        <v>26321</v>
      </c>
      <c r="E40" s="10"/>
    </row>
    <row r="41" customFormat="false" ht="12.75" hidden="false" customHeight="false" outlineLevel="0" collapsed="false">
      <c r="B41" s="9" t="s">
        <v>62</v>
      </c>
      <c r="C41" s="10" t="n">
        <v>26250</v>
      </c>
      <c r="E41" s="10"/>
    </row>
    <row r="44" customFormat="false" ht="12.75" hidden="false" customHeight="false" outlineLevel="0" collapsed="false">
      <c r="C44" s="18" t="n">
        <f aca="false">C23+C31+C32+C33+C34+C35+C36+C37+C38</f>
        <v>2019283.7</v>
      </c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: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20.41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56"/>
  </cols>
  <sheetData>
    <row r="1" customFormat="false" ht="18" hidden="false" customHeight="false" outlineLevel="0" collapsed="false">
      <c r="B1" s="1" t="str">
        <f aca="false">'[9]Team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tr">
        <f aca="false">'[9]Pull Sheet'!E9</f>
        <v>Northeast Origination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3" t="n">
        <f aca="false">'[9]Team Report'!B3</f>
        <v>37135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6" t="s">
        <v>1</v>
      </c>
    </row>
    <row r="7" customFormat="false" ht="12.75" hidden="false" customHeight="false" outlineLevel="0" collapsed="false">
      <c r="C7" s="7" t="s">
        <v>2</v>
      </c>
      <c r="E7" s="7" t="s">
        <v>3</v>
      </c>
      <c r="G7" s="6" t="s">
        <v>4</v>
      </c>
    </row>
    <row r="8" customFormat="false" ht="12.75" hidden="false" customHeight="false" outlineLevel="0" collapsed="false">
      <c r="A8" s="8" t="s">
        <v>5</v>
      </c>
      <c r="B8" s="9" t="s">
        <v>6</v>
      </c>
      <c r="C8" s="10" t="n">
        <f aca="false">'[9]Team Report'!BA25-C9-93000</f>
        <v>663063.49</v>
      </c>
      <c r="E8" s="10" t="n">
        <f aca="false">(C8/9)*12</f>
        <v>884084.653333333</v>
      </c>
      <c r="G8" s="11" t="n">
        <f aca="false">E8/$E$23</f>
        <v>0.474002596370477</v>
      </c>
    </row>
    <row r="9" customFormat="false" ht="12.75" hidden="false" customHeight="false" outlineLevel="0" collapsed="false">
      <c r="A9" s="8"/>
      <c r="B9" s="9" t="s">
        <v>7</v>
      </c>
      <c r="C9" s="10" t="n">
        <v>50000</v>
      </c>
      <c r="E9" s="10" t="n">
        <f aca="false">C9</f>
        <v>50000</v>
      </c>
      <c r="G9" s="11" t="n">
        <f aca="false">E9/$E$23</f>
        <v>0.0268075344698784</v>
      </c>
    </row>
    <row r="10" customFormat="false" ht="12.75" hidden="false" customHeight="false" outlineLevel="0" collapsed="false">
      <c r="B10" s="9" t="s">
        <v>8</v>
      </c>
      <c r="C10" s="10" t="n">
        <f aca="false">93000+15498+141200+31932+1620</f>
        <v>283250</v>
      </c>
      <c r="E10" s="10" t="n">
        <f aca="false">(C10/9)*12</f>
        <v>377666.666666667</v>
      </c>
      <c r="G10" s="11" t="n">
        <f aca="false">E10/$E$23</f>
        <v>0.202486243695815</v>
      </c>
    </row>
    <row r="11" customFormat="false" ht="12.75" hidden="false" customHeight="false" outlineLevel="0" collapsed="false">
      <c r="A11" s="8" t="s">
        <v>9</v>
      </c>
      <c r="B11" s="9" t="s">
        <v>10</v>
      </c>
      <c r="C11" s="10" t="n">
        <f aca="false">'[9]Team Report'!BA26-15498-1620</f>
        <v>136045.92</v>
      </c>
      <c r="E11" s="10" t="n">
        <f aca="false">(C11/9)*12</f>
        <v>181394.56</v>
      </c>
      <c r="G11" s="11" t="n">
        <f aca="false">E11/$E$23</f>
        <v>0.0972548183969687</v>
      </c>
    </row>
    <row r="12" customFormat="false" ht="12.75" hidden="false" customHeight="false" outlineLevel="0" collapsed="false">
      <c r="A12" s="8" t="s">
        <v>11</v>
      </c>
      <c r="B12" s="9" t="s">
        <v>12</v>
      </c>
      <c r="C12" s="10" t="n">
        <f aca="false">'[9]Team Report'!BA27</f>
        <v>39620.5</v>
      </c>
      <c r="E12" s="10" t="n">
        <f aca="false">(C12/9)*12</f>
        <v>52827.3333333333</v>
      </c>
      <c r="G12" s="11" t="n">
        <f aca="false">E12/$E$23</f>
        <v>0.0283234111857018</v>
      </c>
    </row>
    <row r="13" customFormat="false" ht="12.75" hidden="false" customHeight="false" outlineLevel="0" collapsed="false">
      <c r="A13" s="8" t="s">
        <v>13</v>
      </c>
      <c r="B13" s="9" t="s">
        <v>14</v>
      </c>
      <c r="C13" s="10" t="n">
        <f aca="false">'[9]Team Report'!BA28-C39</f>
        <v>200036.59</v>
      </c>
      <c r="E13" s="10" t="n">
        <f aca="false">(C13/9)*12</f>
        <v>266715.453333333</v>
      </c>
      <c r="G13" s="11" t="n">
        <f aca="false">E13/$E$23</f>
        <v>0.142999674177652</v>
      </c>
    </row>
    <row r="14" customFormat="false" ht="12.75" hidden="false" customHeight="false" outlineLevel="0" collapsed="false">
      <c r="A14" s="8" t="s">
        <v>15</v>
      </c>
      <c r="B14" s="9" t="s">
        <v>16</v>
      </c>
      <c r="C14" s="10" t="n">
        <f aca="false">'[9]Team Report'!BA32</f>
        <v>20336.08</v>
      </c>
      <c r="E14" s="10" t="n">
        <f aca="false">(C14/9)*12</f>
        <v>27114.7733333333</v>
      </c>
      <c r="G14" s="11" t="n">
        <f aca="false">E14/$E$23</f>
        <v>0.0145376044155255</v>
      </c>
    </row>
    <row r="15" customFormat="false" ht="12.75" hidden="false" customHeight="false" outlineLevel="0" collapsed="false">
      <c r="A15" s="8" t="s">
        <v>17</v>
      </c>
      <c r="B15" s="9" t="s">
        <v>18</v>
      </c>
      <c r="C15" s="10" t="n">
        <f aca="false">'[9]Team Report'!BA33</f>
        <v>2960.78</v>
      </c>
      <c r="E15" s="10" t="n">
        <f aca="false">(C15/9)*12</f>
        <v>3947.70666666667</v>
      </c>
      <c r="G15" s="11" t="n">
        <f aca="false">E15/$E$23</f>
        <v>0.00211656565087271</v>
      </c>
    </row>
    <row r="16" customFormat="false" ht="12.75" hidden="false" customHeight="false" outlineLevel="0" collapsed="false">
      <c r="A16" s="8" t="s">
        <v>19</v>
      </c>
      <c r="B16" s="9" t="s">
        <v>20</v>
      </c>
      <c r="C16" s="10" t="n">
        <f aca="false">'[9]Team Report'!BA34</f>
        <v>0</v>
      </c>
      <c r="E16" s="10" t="n">
        <f aca="false">(C16/9)*12</f>
        <v>0</v>
      </c>
      <c r="G16" s="11" t="n">
        <f aca="false">E16/$E$23</f>
        <v>0</v>
      </c>
    </row>
    <row r="17" customFormat="false" ht="12.75" hidden="false" customHeight="false" outlineLevel="0" collapsed="false">
      <c r="A17" s="8" t="s">
        <v>21</v>
      </c>
      <c r="B17" s="9" t="s">
        <v>22</v>
      </c>
      <c r="C17" s="10" t="n">
        <f aca="false">'[9]Team Report'!BA35</f>
        <v>0</v>
      </c>
      <c r="E17" s="10" t="n">
        <f aca="false">(C17/9)*12</f>
        <v>0</v>
      </c>
      <c r="G17" s="11" t="n">
        <f aca="false">E17/$E$23</f>
        <v>0</v>
      </c>
    </row>
    <row r="18" customFormat="false" ht="12.75" hidden="false" customHeight="false" outlineLevel="0" collapsed="false">
      <c r="A18" s="8" t="s">
        <v>23</v>
      </c>
      <c r="B18" s="9" t="s">
        <v>24</v>
      </c>
      <c r="C18" s="10" t="n">
        <f aca="false">'[9]Team Report'!BA36</f>
        <v>0</v>
      </c>
      <c r="E18" s="10" t="n">
        <f aca="false">(C18/9)*12</f>
        <v>0</v>
      </c>
      <c r="G18" s="11" t="n">
        <f aca="false">E18/$E$23</f>
        <v>0</v>
      </c>
    </row>
    <row r="19" customFormat="false" ht="12.75" hidden="false" customHeight="false" outlineLevel="0" collapsed="false">
      <c r="A19" s="8" t="s">
        <v>25</v>
      </c>
      <c r="B19" s="9" t="s">
        <v>26</v>
      </c>
      <c r="C19" s="10" t="n">
        <f aca="false">'[9]Team Report'!BA37</f>
        <v>1975.28</v>
      </c>
      <c r="E19" s="10" t="n">
        <f aca="false">(C19/9)*12</f>
        <v>2633.70666666667</v>
      </c>
      <c r="G19" s="11" t="n">
        <f aca="false">E19/$E$23</f>
        <v>0.00141206364500431</v>
      </c>
    </row>
    <row r="20" customFormat="false" ht="12.75" hidden="false" customHeight="false" outlineLevel="0" collapsed="false">
      <c r="A20" s="8" t="s">
        <v>27</v>
      </c>
      <c r="B20" s="9" t="s">
        <v>28</v>
      </c>
      <c r="C20" s="10" t="n">
        <f aca="false">'[9]Team Report'!BA38</f>
        <v>17.42</v>
      </c>
      <c r="E20" s="10" t="n">
        <f aca="false">(C20/9)*12</f>
        <v>23.2266666666667</v>
      </c>
      <c r="G20" s="11" t="n">
        <f aca="false">E20/$E$23</f>
        <v>1.24529933457409E-005</v>
      </c>
    </row>
    <row r="21" customFormat="false" ht="12.75" hidden="false" customHeight="false" outlineLevel="0" collapsed="false">
      <c r="A21" s="8" t="s">
        <v>29</v>
      </c>
      <c r="B21" s="9" t="s">
        <v>30</v>
      </c>
      <c r="C21" s="10" t="n">
        <f aca="false">'[9]Team Report'!BA42-141200-31932</f>
        <v>13949.08</v>
      </c>
      <c r="E21" s="10" t="n">
        <f aca="false">(C21/9)*12</f>
        <v>18598.7733333333</v>
      </c>
      <c r="G21" s="11" t="n">
        <f aca="false">E21/$E$23</f>
        <v>0.00997174514461578</v>
      </c>
    </row>
    <row r="22" customFormat="false" ht="12.75" hidden="false" customHeight="false" outlineLevel="0" collapsed="false">
      <c r="A22" s="8" t="s">
        <v>31</v>
      </c>
      <c r="B22" s="9" t="s">
        <v>32</v>
      </c>
      <c r="C22" s="10" t="n">
        <f aca="false">'[9]Team Report'!BA44</f>
        <v>105.32</v>
      </c>
      <c r="E22" s="10" t="n">
        <f aca="false">(C22/9)*12</f>
        <v>140.426666666667</v>
      </c>
      <c r="G22" s="11" t="n">
        <f aca="false">E22/$E$23</f>
        <v>7.52898541431359E-005</v>
      </c>
    </row>
    <row r="23" customFormat="false" ht="12.75" hidden="false" customHeight="false" outlineLevel="0" collapsed="false">
      <c r="A23" s="12" t="s">
        <v>33</v>
      </c>
      <c r="B23" s="13" t="s">
        <v>34</v>
      </c>
      <c r="C23" s="14" t="n">
        <f aca="false">SUM(C8:C22)</f>
        <v>1411360.46</v>
      </c>
      <c r="E23" s="14" t="n">
        <f aca="false">SUM(E8:E22)</f>
        <v>1865147.28</v>
      </c>
      <c r="G23" s="15" t="n">
        <f aca="false">SUM(G8:G22)</f>
        <v>1</v>
      </c>
    </row>
    <row r="25" customFormat="false" ht="12.75" hidden="false" customHeight="false" outlineLevel="0" collapsed="false">
      <c r="B25" s="13" t="s">
        <v>35</v>
      </c>
      <c r="C25" s="10"/>
      <c r="E25" s="16" t="n">
        <v>9</v>
      </c>
    </row>
    <row r="26" customFormat="false" ht="12.75" hidden="false" customHeight="false" outlineLevel="0" collapsed="false">
      <c r="C26" s="10"/>
      <c r="E26" s="10"/>
    </row>
    <row r="27" customFormat="false" ht="12.75" hidden="false" customHeight="false" outlineLevel="0" collapsed="false">
      <c r="B27" s="13" t="s">
        <v>36</v>
      </c>
      <c r="C27" s="10"/>
      <c r="E27" s="16" t="n">
        <v>5</v>
      </c>
    </row>
    <row r="28" customFormat="false" ht="12.75" hidden="false" customHeight="false" outlineLevel="0" collapsed="false">
      <c r="B28" s="13"/>
      <c r="C28" s="10"/>
      <c r="E28" s="10"/>
    </row>
    <row r="29" customFormat="false" ht="12.75" hidden="false" customHeight="false" outlineLevel="0" collapsed="false">
      <c r="B29" s="13" t="s">
        <v>37</v>
      </c>
      <c r="C29" s="10"/>
      <c r="E29" s="16" t="n">
        <f aca="false">SUM(E25:E27)</f>
        <v>14</v>
      </c>
    </row>
    <row r="31" customFormat="false" ht="12.75" hidden="false" customHeight="false" outlineLevel="0" collapsed="false">
      <c r="A31" s="8" t="s">
        <v>38</v>
      </c>
      <c r="B31" s="9" t="s">
        <v>39</v>
      </c>
      <c r="C31" s="10" t="n">
        <f aca="false">'[9]Team Report'!BA29</f>
        <v>107291.84</v>
      </c>
      <c r="E31" s="10" t="n">
        <f aca="false">(C31/9)*12</f>
        <v>143055.786666667</v>
      </c>
    </row>
    <row r="32" customFormat="false" ht="12.75" hidden="false" customHeight="false" outlineLevel="0" collapsed="false">
      <c r="A32" s="8" t="s">
        <v>40</v>
      </c>
      <c r="B32" s="9" t="s">
        <v>41</v>
      </c>
      <c r="C32" s="10" t="n">
        <f aca="false">'[9]Team Report'!BA30</f>
        <v>0</v>
      </c>
      <c r="E32" s="10" t="n">
        <f aca="false">(C32/9)*12</f>
        <v>0</v>
      </c>
    </row>
    <row r="33" customFormat="false" ht="12.75" hidden="false" customHeight="false" outlineLevel="0" collapsed="false">
      <c r="A33" s="8" t="s">
        <v>42</v>
      </c>
      <c r="B33" s="9" t="s">
        <v>43</v>
      </c>
      <c r="C33" s="10" t="n">
        <f aca="false">'[9]Team Report'!BA31</f>
        <v>0</v>
      </c>
      <c r="E33" s="10" t="n">
        <f aca="false">(C33/9)*12</f>
        <v>0</v>
      </c>
    </row>
    <row r="34" customFormat="false" ht="12.75" hidden="false" customHeight="false" outlineLevel="0" collapsed="false">
      <c r="A34" s="8" t="s">
        <v>44</v>
      </c>
      <c r="B34" s="9" t="s">
        <v>45</v>
      </c>
      <c r="C34" s="10" t="n">
        <f aca="false">'[9]Team Report'!BA39</f>
        <v>0</v>
      </c>
      <c r="E34" s="10" t="n">
        <f aca="false">(C34/9)*12</f>
        <v>0</v>
      </c>
    </row>
    <row r="35" customFormat="false" ht="12.75" hidden="false" customHeight="false" outlineLevel="0" collapsed="false">
      <c r="A35" s="8" t="s">
        <v>46</v>
      </c>
      <c r="B35" s="9" t="s">
        <v>47</v>
      </c>
      <c r="C35" s="10" t="n">
        <f aca="false">'[9]Team Report'!BA40</f>
        <v>21681.28</v>
      </c>
      <c r="E35" s="10" t="n">
        <f aca="false">(C35/9)*12</f>
        <v>28908.3733333333</v>
      </c>
    </row>
    <row r="36" customFormat="false" ht="12.75" hidden="false" customHeight="false" outlineLevel="0" collapsed="false">
      <c r="A36" s="8" t="s">
        <v>48</v>
      </c>
      <c r="B36" s="9" t="s">
        <v>49</v>
      </c>
      <c r="C36" s="10" t="n">
        <f aca="false">'[9]Team Report'!BA41</f>
        <v>44521.96</v>
      </c>
      <c r="E36" s="10" t="n">
        <f aca="false">(C36/9)*12</f>
        <v>59362.6133333333</v>
      </c>
    </row>
    <row r="37" customFormat="false" ht="12.75" hidden="false" customHeight="false" outlineLevel="0" collapsed="false">
      <c r="A37" s="8" t="s">
        <v>50</v>
      </c>
      <c r="B37" s="9" t="s">
        <v>51</v>
      </c>
      <c r="C37" s="10" t="n">
        <f aca="false">'[9]Team Report'!BA43</f>
        <v>0</v>
      </c>
      <c r="E37" s="10" t="n">
        <f aca="false">(C37/9)*12</f>
        <v>0</v>
      </c>
    </row>
    <row r="38" customFormat="false" ht="12.75" hidden="false" customHeight="false" outlineLevel="0" collapsed="false">
      <c r="A38" s="8" t="s">
        <v>52</v>
      </c>
      <c r="B38" s="9" t="s">
        <v>53</v>
      </c>
      <c r="C38" s="10" t="n">
        <f aca="false">'[9]Team Report'!BA45</f>
        <v>0</v>
      </c>
      <c r="E38" s="10" t="n">
        <f aca="false">(C38/9)*12</f>
        <v>0</v>
      </c>
    </row>
    <row r="39" customFormat="false" ht="12.75" hidden="false" customHeight="false" outlineLevel="0" collapsed="false">
      <c r="B39" s="9" t="s">
        <v>61</v>
      </c>
      <c r="C39" s="10" t="n">
        <f aca="false">6198+4500+35515</f>
        <v>46213</v>
      </c>
      <c r="E39" s="10"/>
    </row>
    <row r="40" customFormat="false" ht="12.75" hidden="false" customHeight="false" outlineLevel="0" collapsed="false">
      <c r="C40" s="10"/>
      <c r="E40" s="10"/>
    </row>
    <row r="43" customFormat="false" ht="12.75" hidden="false" customHeight="false" outlineLevel="0" collapsed="false">
      <c r="C43" s="18" t="n">
        <f aca="false">C23+C31+C32+C33+C34+C35+C36+C37+C38</f>
        <v>1584855.54</v>
      </c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2001-12-01T18:30:54Z</dcterms:created>
  <dc:creator>thardy</dc:creator>
  <dc:description/>
  <dc:language>en-US</dc:language>
  <cp:lastModifiedBy>thardy</cp:lastModifiedBy>
  <cp:lastPrinted>2001-12-01T21:22:22Z</cp:lastPrinted>
  <dcterms:modified xsi:type="dcterms:W3CDTF">2001-12-01T21:49:07Z</dcterms:modified>
  <cp:revision>0</cp:revision>
  <dc:subject/>
  <dc:title/>
</cp:coreProperties>
</file>