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tural Gas Consolidated" sheetId="1" state="visible" r:id="rId3"/>
    <sheet name="East - Orig" sheetId="2" state="visible" r:id="rId4"/>
    <sheet name="East - Trading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'East - Orig'!$B$1:$L$34</definedName>
    <definedName function="false" hidden="false" localSheetId="2" name="_xlnm.Print_Area" vbProcedure="false">'East - Trading'!$B$1:$L$34</definedName>
    <definedName function="false" hidden="false" localSheetId="0" name="_xlnm.Print_Area" vbProcedure="false">'Natural Gas Consolidated'!$B$1:$L$34</definedName>
    <definedName function="false" hidden="false" name="SAPFuncF4Help" vbProcedure="false">(#NAME?)</definedName>
    <definedName function="false" hidden="false" localSheetId="1" name="SAPFuncF4Help" vbProcedure="false">(#NAME?)</definedName>
    <definedName function="false" hidden="false" localSheetId="2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<sst xmlns="http://schemas.openxmlformats.org/spreadsheetml/2006/main" count="231" uniqueCount="80">
  <si>
    <t xml:space="preserve">Natural Gas Consolidated</t>
  </si>
  <si>
    <t xml:space="preserve">2002 Plan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</si>
  <si>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</si>
  <si>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</si>
  <si>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</si>
  <si>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</si>
  <si>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</si>
  <si>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</si>
  <si>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</si>
  <si>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</si>
  <si>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</si>
  <si>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</si>
  <si>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</si>
  <si>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</si>
  <si>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</si>
  <si>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</si>
  <si>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</si>
  <si>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</si>
  <si>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Other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</si>
  <si>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</si>
  <si>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</si>
  <si>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</si>
  <si>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</si>
  <si>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</si>
  <si>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</si>
  <si>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</si>
  <si>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</si>
  <si>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</si>
  <si>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</si>
  <si>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</si>
  <si>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</si>
  <si>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</si>
  <si>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</si>
  <si>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</si>
  <si>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</si>
  <si>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</si>
  <si>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</si>
  <si>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</si>
  <si>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</si>
  <si>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</si>
  <si>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</si>
  <si>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</si>
  <si>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</si>
  <si>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</si>
  <si>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</si>
  <si>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</si>
  <si>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</si>
  <si>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</si>
  <si>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</si>
  <si>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</si>
  <si>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</si>
  <si>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</si>
  <si>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</si>
  <si>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Headcount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</si>
  <si>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</si>
  <si>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</si>
  <si>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</si>
  <si>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</si>
  <si>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</si>
  <si>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</si>
  <si>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</si>
  <si>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</si>
  <si>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</si>
  <si>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</si>
  <si>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East Gas - Orig</t>
  </si>
  <si>
    <t xml:space="preserve">ADJUSTED</t>
  </si>
  <si>
    <t xml:space="preserve">Frank W. Vickers</t>
  </si>
  <si>
    <t xml:space="preserve">Vice President</t>
  </si>
  <si>
    <t xml:space="preserve">David F. Jones</t>
  </si>
  <si>
    <t xml:space="preserve">Jared L. Kaiser</t>
  </si>
  <si>
    <t xml:space="preserve">John C. Taylor</t>
  </si>
  <si>
    <t xml:space="preserve">East Gas - Trading</t>
  </si>
  <si>
    <t xml:space="preserve">Scott M. Neal</t>
  </si>
  <si>
    <t xml:space="preserve">Sandra F. Brawner</t>
  </si>
  <si>
    <t xml:space="preserve">Bradley T. McKay</t>
  </si>
  <si>
    <t xml:space="preserve">Jonathan McKay</t>
  </si>
  <si>
    <t xml:space="preserve">Andrea K. Ring</t>
  </si>
  <si>
    <t xml:space="preserve">Peter F. Keavey</t>
  </si>
  <si>
    <t xml:space="preserve">Judith G. Townsend</t>
  </si>
  <si>
    <t xml:space="preserve">Charles H. Ames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</si>
</sst>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mmmm\-yy"/>
    <numFmt numFmtId="168" formatCode="[$-409]mmm\-yy"/>
    <numFmt numFmtId="169" formatCode="@"/>
    <numFmt numFmtId="170" formatCode="0%"/>
    <numFmt numFmtId="171" formatCode="0.0%"/>
    <numFmt numFmtId="172" formatCode="_(\$* #,##0.00_);_(\$* \(#,##0.00\);_(\$* \-??_);_(@_)"/>
    <numFmt numFmtId="173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least/Local%20Settings/Temporary%20Internet%20Files/OLK588/Natural%20Gas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12159180</v>
      </c>
      <c r="I8" s="10" t="s">
        <v>13</v>
      </c>
      <c r="J8" s="1" t="n">
        <v>0</v>
      </c>
      <c r="L8" s="11" t="n">
        <f aca="false">L30</f>
        <v>15668136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897600</v>
      </c>
      <c r="I10" s="10"/>
      <c r="L10" s="11"/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2611356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90</v>
      </c>
      <c r="L11" s="11" t="n">
        <f aca="false">J11*K11</f>
        <v>4344316.3125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554622.6375</v>
      </c>
      <c r="I12" s="10"/>
      <c r="L12" s="11"/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493646.1225</v>
      </c>
      <c r="I13" s="19" t="s">
        <v>23</v>
      </c>
      <c r="J13" s="20"/>
      <c r="K13" s="20"/>
      <c r="L13" s="21" t="n">
        <f aca="false">L8+L11</f>
        <v>20012452.3125</v>
      </c>
      <c r="N13" s="1"/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0.180000000014843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78422.25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4425</v>
      </c>
      <c r="I17" s="1" t="s">
        <v>33</v>
      </c>
      <c r="J17" s="1" t="n">
        <v>48400</v>
      </c>
      <c r="K17" s="1" t="n">
        <f aca="false">12</f>
        <v>12</v>
      </c>
      <c r="L17" s="1" t="n">
        <f aca="false">J17*K17</f>
        <v>580800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80366.19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81907.74</v>
      </c>
      <c r="I19" s="1" t="s">
        <v>39</v>
      </c>
      <c r="J19" s="1" t="n">
        <v>57750</v>
      </c>
      <c r="K19" s="1" t="n">
        <f aca="false">1</f>
        <v>1</v>
      </c>
      <c r="L19" s="1" t="n">
        <f aca="false">J19*K19</f>
        <v>57750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12</v>
      </c>
      <c r="I20" s="1" t="s">
        <v>42</v>
      </c>
      <c r="J20" s="1" t="n">
        <v>71500</v>
      </c>
      <c r="K20" s="1" t="n">
        <f aca="false">2+1</f>
        <v>3</v>
      </c>
      <c r="L20" s="1" t="n">
        <f aca="false">J20*K20</f>
        <v>214500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101841.6825</v>
      </c>
      <c r="I21" s="1" t="s">
        <v>45</v>
      </c>
      <c r="J21" s="1" t="n">
        <v>60500</v>
      </c>
      <c r="K21" s="1" t="n">
        <f aca="false">5+1</f>
        <v>6</v>
      </c>
      <c r="L21" s="1" t="n">
        <f aca="false">J21*K21</f>
        <v>363000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f aca="false">(E22/$E$29)*$K$11+557047+65535</f>
        <v>3571654.51</v>
      </c>
      <c r="I22" s="1" t="s">
        <v>48</v>
      </c>
      <c r="J22" s="1" t="n">
        <v>89100</v>
      </c>
      <c r="K22" s="1" t="n">
        <f aca="false">1+5</f>
        <v>6</v>
      </c>
      <c r="L22" s="1" t="n">
        <f aca="false">J22*K22</f>
        <v>534600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20635034.3125</v>
      </c>
      <c r="I23" s="1" t="s">
        <v>51</v>
      </c>
      <c r="J23" s="1" t="n">
        <v>110000</v>
      </c>
      <c r="K23" s="1" t="n">
        <f aca="false">1+8+11</f>
        <v>20</v>
      </c>
      <c r="L23" s="1" t="n">
        <f aca="false">J23*K23</f>
        <v>2200000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1+11+14</f>
        <v>26</v>
      </c>
      <c r="L24" s="1" t="n">
        <f aca="false">J24*K24</f>
        <v>3718000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78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f aca="false">8+6</f>
        <v>14</v>
      </c>
      <c r="L26" s="1" t="n">
        <f aca="false">J26*K26</f>
        <v>2772000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12</v>
      </c>
      <c r="I27" s="1" t="s">
        <v>57</v>
      </c>
      <c r="J27" s="1" t="n">
        <v>220000</v>
      </c>
      <c r="K27" s="1" t="n">
        <f aca="false">1+1</f>
        <v>2</v>
      </c>
      <c r="L27" s="1" t="n">
        <f aca="false">J27*K27</f>
        <v>440000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90</v>
      </c>
      <c r="L28" s="1" t="n">
        <f aca="false">SUM(L16:L27)*1.2</f>
        <v>13056780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90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15668136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90</v>
      </c>
      <c r="L34" s="33" t="n">
        <f aca="false">+J34*K34</f>
        <v>4344316.3125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N29" activeCellId="0" sqref="N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64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N5" s="35" t="s">
        <v>65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N6" s="12" t="s">
        <v>7</v>
      </c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N7" s="13" t="s">
        <v>11</v>
      </c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712800</v>
      </c>
      <c r="I8" s="10" t="s">
        <v>13</v>
      </c>
      <c r="J8" s="1" t="n">
        <v>0</v>
      </c>
      <c r="L8" s="11" t="n">
        <f aca="false">L30</f>
        <v>855360</v>
      </c>
      <c r="N8" s="16" t="n">
        <f aca="false">H8/2*1.5</f>
        <v>534600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N9" s="16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0</v>
      </c>
      <c r="I10" s="10"/>
      <c r="L10" s="11"/>
      <c r="N10" s="16" t="n">
        <v>0</v>
      </c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142560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4</v>
      </c>
      <c r="L11" s="11" t="n">
        <f aca="false">J11*K11</f>
        <v>193080.725</v>
      </c>
      <c r="N11" s="16" t="n">
        <f aca="false">H11/2*1.5</f>
        <v>106920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24649.895</v>
      </c>
      <c r="I12" s="10"/>
      <c r="L12" s="11"/>
      <c r="N12" s="16" t="n">
        <v>30000</v>
      </c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21939.8276666667</v>
      </c>
      <c r="I13" s="19" t="s">
        <v>23</v>
      </c>
      <c r="J13" s="20"/>
      <c r="K13" s="20"/>
      <c r="L13" s="21" t="n">
        <f aca="false">L8+L11</f>
        <v>1048440.725</v>
      </c>
      <c r="N13" s="16" t="n">
        <v>200000</v>
      </c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0.00800000000065969</v>
      </c>
      <c r="N14" s="16" t="n">
        <v>0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3485.43333333333</v>
      </c>
      <c r="N15" s="16" t="n">
        <v>20000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N16" s="16" t="n"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196.666666666667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N17" s="16" t="n">
        <v>197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3571.83066666667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N18" s="16" t="n"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3640.344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N19" s="16" t="n">
        <v>20000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0.533333333333333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N20" s="16" t="n">
        <v>2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4526.297</v>
      </c>
      <c r="I21" s="1" t="s">
        <v>45</v>
      </c>
      <c r="J21" s="1" t="n">
        <v>60500</v>
      </c>
      <c r="K21" s="1" t="n">
        <v>0</v>
      </c>
      <c r="L21" s="1" t="n">
        <f aca="false">J21*K21</f>
        <v>0</v>
      </c>
      <c r="N21" s="16" t="n">
        <v>5652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v>0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N22" s="16" t="n">
        <v>0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917370.835666667</v>
      </c>
      <c r="I23" s="1" t="s">
        <v>51</v>
      </c>
      <c r="J23" s="1" t="n">
        <v>110000</v>
      </c>
      <c r="K23" s="1" t="n">
        <v>1</v>
      </c>
      <c r="L23" s="1" t="n">
        <f aca="false">J23*K23</f>
        <v>110000</v>
      </c>
      <c r="N23" s="26" t="n">
        <f aca="false">SUM(N8:N22)</f>
        <v>917371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f aca="false">1+1</f>
        <v>2</v>
      </c>
      <c r="L24" s="1" t="n">
        <f aca="false">J24*K24</f>
        <v>286000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4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1</v>
      </c>
      <c r="L26" s="1" t="n">
        <f aca="false">J26*K26</f>
        <v>198000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0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4</v>
      </c>
      <c r="L28" s="1" t="n">
        <f aca="false">SUM(L16:L27)*1.2</f>
        <v>712800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4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855360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4</v>
      </c>
      <c r="L34" s="33" t="n">
        <f aca="false">+J34*K34</f>
        <v>193080.725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  <row r="41" customFormat="false" ht="12.75" hidden="false" customHeight="false" outlineLevel="0" collapsed="false">
      <c r="B41" s="0" t="s">
        <v>66</v>
      </c>
      <c r="H41" s="0" t="s">
        <v>67</v>
      </c>
    </row>
    <row r="42" customFormat="false" ht="12.75" hidden="false" customHeight="false" outlineLevel="0" collapsed="false">
      <c r="B42" s="0" t="s">
        <v>68</v>
      </c>
      <c r="H42" s="0" t="s">
        <v>52</v>
      </c>
    </row>
    <row r="43" customFormat="false" ht="12.75" hidden="false" customHeight="false" outlineLevel="0" collapsed="false">
      <c r="B43" s="0" t="s">
        <v>69</v>
      </c>
      <c r="H43" s="0" t="s">
        <v>52</v>
      </c>
    </row>
    <row r="44" customFormat="false" ht="12.75" hidden="false" customHeight="false" outlineLevel="0" collapsed="false">
      <c r="B44" s="0" t="s">
        <v>70</v>
      </c>
      <c r="H44" s="0" t="s">
        <v>51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4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10" activeCellId="0" sqref="N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1" width="12.85"/>
    <col collapsed="false" customWidth="true" hidden="true" outlineLevel="0" max="10" min="10" style="1" width="11.28"/>
    <col collapsed="false" customWidth="true" hidden="true" outlineLevel="0" max="11" min="11" style="1" width="9.28"/>
    <col collapsed="false" customWidth="true" hidden="true" outlineLevel="0" max="12" min="12" style="1" width="13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2" t="str">
        <f aca="false">'[1]Team Report'!B1</f>
        <v>Enron North America</v>
      </c>
      <c r="C1" s="2"/>
      <c r="D1" s="2"/>
      <c r="E1" s="2"/>
      <c r="F1" s="2"/>
      <c r="G1" s="2"/>
      <c r="H1" s="2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customFormat="false" ht="18" hidden="false" customHeight="false" outlineLevel="0" collapsed="false">
      <c r="B2" s="2" t="s">
        <v>71</v>
      </c>
      <c r="C2" s="2"/>
      <c r="D2" s="2"/>
      <c r="E2" s="2"/>
      <c r="F2" s="2"/>
      <c r="G2" s="2"/>
      <c r="H2" s="2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customFormat="false" ht="18.75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3"/>
      <c r="J3" s="3"/>
      <c r="K3" s="3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customFormat="false" ht="12.75" hidden="false" customHeight="false" outlineLevel="0" collapsed="false">
      <c r="I4" s="7"/>
      <c r="J4" s="8"/>
      <c r="K4" s="8"/>
      <c r="L4" s="9"/>
    </row>
    <row r="5" customFormat="false" ht="12.75" hidden="false" customHeight="false" outlineLevel="0" collapsed="false">
      <c r="I5" s="10"/>
      <c r="J5" s="1" t="s">
        <v>2</v>
      </c>
      <c r="K5" s="1" t="s">
        <v>3</v>
      </c>
      <c r="L5" s="11" t="s">
        <v>4</v>
      </c>
      <c r="N5" s="35" t="s">
        <v>65</v>
      </c>
    </row>
    <row r="6" customFormat="false" ht="12.75" hidden="false" customHeight="false" outlineLevel="0" collapsed="false">
      <c r="C6" s="12" t="n">
        <v>37135</v>
      </c>
      <c r="E6" s="12" t="s">
        <v>5</v>
      </c>
      <c r="G6" s="12" t="s">
        <v>6</v>
      </c>
      <c r="H6" s="12" t="s">
        <v>7</v>
      </c>
      <c r="I6" s="10"/>
      <c r="L6" s="11"/>
      <c r="N6" s="12" t="s">
        <v>7</v>
      </c>
      <c r="Q6" s="12"/>
    </row>
    <row r="7" customFormat="false" ht="12.75" hidden="false" customHeight="false" outlineLevel="0" collapsed="false">
      <c r="C7" s="13" t="s">
        <v>8</v>
      </c>
      <c r="E7" s="13" t="s">
        <v>9</v>
      </c>
      <c r="G7" s="13" t="s">
        <v>10</v>
      </c>
      <c r="H7" s="13" t="s">
        <v>11</v>
      </c>
      <c r="I7" s="10"/>
      <c r="L7" s="11"/>
      <c r="N7" s="13" t="s">
        <v>11</v>
      </c>
      <c r="Q7" s="13"/>
    </row>
    <row r="8" customFormat="false" ht="12.75" hidden="false" customHeight="false" outlineLevel="0" collapsed="false">
      <c r="A8" s="14" t="s">
        <v>12</v>
      </c>
      <c r="B8" s="15" t="s">
        <v>13</v>
      </c>
      <c r="C8" s="16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6" t="n">
        <f aca="false">((C8/9)*12)</f>
        <v>11530476.88</v>
      </c>
      <c r="G8" s="17" t="n">
        <f aca="false">E8/$E$23</f>
        <v>0.528778555954281</v>
      </c>
      <c r="H8" s="16" t="n">
        <f aca="false">L28-H10</f>
        <v>1200100</v>
      </c>
      <c r="I8" s="10" t="s">
        <v>13</v>
      </c>
      <c r="J8" s="1" t="n">
        <v>0</v>
      </c>
      <c r="L8" s="11" t="n">
        <f aca="false">L30</f>
        <v>1512720</v>
      </c>
      <c r="N8" s="16" t="n">
        <f aca="false">H8/2*1.5-3425</f>
        <v>896650</v>
      </c>
      <c r="Q8" s="16"/>
    </row>
    <row r="9" customFormat="false" ht="12.75" hidden="true" customHeight="false" outlineLevel="0" collapsed="false">
      <c r="A9" s="14"/>
      <c r="B9" s="15" t="s">
        <v>14</v>
      </c>
      <c r="C9" s="16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6" t="n">
        <v>0</v>
      </c>
      <c r="G9" s="17" t="n">
        <f aca="false">E9/$E$23</f>
        <v>0</v>
      </c>
      <c r="H9" s="16" t="n">
        <v>0</v>
      </c>
      <c r="I9" s="10"/>
      <c r="L9" s="11"/>
      <c r="N9" s="16"/>
      <c r="Q9" s="16"/>
    </row>
    <row r="10" customFormat="false" ht="12.75" hidden="false" customHeight="false" outlineLevel="0" collapsed="false">
      <c r="A10" s="14"/>
      <c r="B10" s="15" t="s">
        <v>15</v>
      </c>
      <c r="C10" s="16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6"/>
      <c r="E10" s="16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17" t="n">
        <f aca="false">E10/$E$23</f>
        <v>0.00377976191391553</v>
      </c>
      <c r="H10" s="16" t="n">
        <f aca="false">L21+L22</f>
        <v>60500</v>
      </c>
      <c r="I10" s="10"/>
      <c r="L10" s="11"/>
      <c r="N10" s="16" t="n">
        <v>60500</v>
      </c>
      <c r="Q10" s="16"/>
    </row>
    <row r="11" customFormat="false" ht="12.75" hidden="false" customHeight="false" outlineLevel="0" collapsed="false">
      <c r="A11" s="14" t="s">
        <v>16</v>
      </c>
      <c r="B11" s="15" t="s">
        <v>17</v>
      </c>
      <c r="C11" s="16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6" t="n">
        <f aca="false">((C11/9)*12)</f>
        <v>2469743.93333333</v>
      </c>
      <c r="G11" s="17" t="n">
        <f aca="false">E11/$E$23</f>
        <v>0.113260504681299</v>
      </c>
      <c r="H11" s="16" t="n">
        <f aca="false">L30-L28</f>
        <v>252120</v>
      </c>
      <c r="I11" s="10" t="s">
        <v>18</v>
      </c>
      <c r="J11" s="1" t="n">
        <f aca="false">(E12+E13+E14+E15+E16+E17+E18+E19+E20+E21+E22)/E29</f>
        <v>48270.18125</v>
      </c>
      <c r="K11" s="1" t="n">
        <f aca="false">K28</f>
        <v>8</v>
      </c>
      <c r="L11" s="11" t="n">
        <f aca="false">J11*K11</f>
        <v>386161.45</v>
      </c>
      <c r="N11" s="16" t="n">
        <f aca="false">H11/2*1.5</f>
        <v>189090</v>
      </c>
      <c r="Q11" s="16"/>
    </row>
    <row r="12" customFormat="false" ht="12.75" hidden="false" customHeight="false" outlineLevel="0" collapsed="false">
      <c r="A12" s="14" t="s">
        <v>19</v>
      </c>
      <c r="B12" s="15" t="s">
        <v>20</v>
      </c>
      <c r="C12" s="16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8" t="n">
        <f aca="false">((C12/9)*12)-500000</f>
        <v>985995.8</v>
      </c>
      <c r="G12" s="17" t="n">
        <f aca="false">E12/$E$23</f>
        <v>0.0452169880506265</v>
      </c>
      <c r="H12" s="16" t="n">
        <f aca="false">(E12/$E$29)*$K$11</f>
        <v>49299.79</v>
      </c>
      <c r="I12" s="10"/>
      <c r="L12" s="11"/>
      <c r="N12" s="16" t="n">
        <v>100000</v>
      </c>
      <c r="Q12" s="16"/>
    </row>
    <row r="13" customFormat="false" ht="13.5" hidden="false" customHeight="false" outlineLevel="0" collapsed="false">
      <c r="A13" s="14" t="s">
        <v>21</v>
      </c>
      <c r="B13" s="15" t="s">
        <v>22</v>
      </c>
      <c r="C13" s="16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8" t="n">
        <f aca="false">((C13/9)*12)-500000-500000</f>
        <v>877593.106666667</v>
      </c>
      <c r="G13" s="17" t="n">
        <f aca="false">E13/$E$23</f>
        <v>0.0402457262165406</v>
      </c>
      <c r="H13" s="16" t="n">
        <f aca="false">(E13/$E$29)*$K$11</f>
        <v>43879.6553333333</v>
      </c>
      <c r="I13" s="19" t="s">
        <v>23</v>
      </c>
      <c r="J13" s="20"/>
      <c r="K13" s="20"/>
      <c r="L13" s="21" t="n">
        <f aca="false">L8+L11</f>
        <v>1898881.45</v>
      </c>
      <c r="N13" s="16" t="n">
        <v>200000</v>
      </c>
      <c r="P13" s="22"/>
      <c r="Q13" s="16"/>
    </row>
    <row r="14" customFormat="false" ht="12.75" hidden="false" customHeight="false" outlineLevel="0" collapsed="false">
      <c r="A14" s="14" t="s">
        <v>24</v>
      </c>
      <c r="B14" s="15" t="s">
        <v>25</v>
      </c>
      <c r="C14" s="16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18" t="n">
        <f aca="false">(C14/9)*12</f>
        <v>0.320000000026387</v>
      </c>
      <c r="G14" s="17" t="n">
        <f aca="false">E14/$E$23</f>
        <v>1.46749470711677E-008</v>
      </c>
      <c r="H14" s="16" t="n">
        <f aca="false">(E14/$E$29)*$K$11</f>
        <v>0.0160000000013194</v>
      </c>
      <c r="N14" s="16" t="n">
        <v>0</v>
      </c>
      <c r="Q14" s="16"/>
    </row>
    <row r="15" customFormat="false" ht="12.75" hidden="false" customHeight="false" outlineLevel="0" collapsed="false">
      <c r="A15" s="14" t="s">
        <v>26</v>
      </c>
      <c r="B15" s="15" t="s">
        <v>27</v>
      </c>
      <c r="C15" s="16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8" t="n">
        <f aca="false">((C15/9)*12)-75000</f>
        <v>139417.333333333</v>
      </c>
      <c r="G15" s="17" t="n">
        <f aca="false">E15/$E$23</f>
        <v>0.00639356871031657</v>
      </c>
      <c r="H15" s="16" t="n">
        <f aca="false">(E15/$E$29)*$K$11</f>
        <v>6970.86666666667</v>
      </c>
      <c r="N15" s="16" t="n">
        <v>75000</v>
      </c>
      <c r="Q15" s="16"/>
    </row>
    <row r="16" customFormat="false" ht="12.75" hidden="false" customHeight="false" outlineLevel="0" collapsed="false">
      <c r="A16" s="14" t="s">
        <v>28</v>
      </c>
      <c r="B16" s="15" t="s">
        <v>29</v>
      </c>
      <c r="C16" s="16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8" t="n">
        <f aca="false">(C16/9)*12</f>
        <v>0</v>
      </c>
      <c r="G16" s="17" t="n">
        <f aca="false">E16/$E$23</f>
        <v>0</v>
      </c>
      <c r="H16" s="16" t="n">
        <f aca="false">(E16/$E$29)*$K$11</f>
        <v>0</v>
      </c>
      <c r="I16" s="1" t="s">
        <v>30</v>
      </c>
      <c r="J16" s="1" t="n">
        <v>33000</v>
      </c>
      <c r="K16" s="1" t="n">
        <f aca="false">1-1</f>
        <v>0</v>
      </c>
      <c r="L16" s="1" t="n">
        <f aca="false">J16*K16</f>
        <v>0</v>
      </c>
      <c r="N16" s="16" t="n">
        <v>0</v>
      </c>
      <c r="Q16" s="16"/>
    </row>
    <row r="17" customFormat="false" ht="12.75" hidden="false" customHeight="false" outlineLevel="0" collapsed="false">
      <c r="A17" s="14" t="s">
        <v>31</v>
      </c>
      <c r="B17" s="15" t="s">
        <v>32</v>
      </c>
      <c r="C17" s="16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8" t="n">
        <f aca="false">((C17/9)*12)</f>
        <v>7866.66666666667</v>
      </c>
      <c r="G17" s="17" t="n">
        <f aca="false">E17/$E$23</f>
        <v>0.000360759115469791</v>
      </c>
      <c r="H17" s="16" t="n">
        <f aca="false">(E17/$E$29)*$K$11</f>
        <v>393.333333333333</v>
      </c>
      <c r="I17" s="1" t="s">
        <v>33</v>
      </c>
      <c r="J17" s="1" t="n">
        <v>48400</v>
      </c>
      <c r="K17" s="1" t="n">
        <v>0</v>
      </c>
      <c r="L17" s="1" t="n">
        <f aca="false">J17*K17</f>
        <v>0</v>
      </c>
      <c r="N17" s="16" t="n">
        <v>500</v>
      </c>
      <c r="Q17" s="16"/>
    </row>
    <row r="18" customFormat="false" ht="12.75" hidden="false" customHeight="false" outlineLevel="0" collapsed="false">
      <c r="A18" s="14" t="s">
        <v>34</v>
      </c>
      <c r="B18" s="15" t="s">
        <v>35</v>
      </c>
      <c r="C18" s="16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8" t="n">
        <f aca="false">((C18/9)*12)-250000-75000</f>
        <v>142873.226666667</v>
      </c>
      <c r="G18" s="17" t="n">
        <f aca="false">E18/$E$23</f>
        <v>0.00655205324702309</v>
      </c>
      <c r="H18" s="16" t="n">
        <f aca="false">(E18/$E$29)*$K$11</f>
        <v>7143.66133333333</v>
      </c>
      <c r="I18" s="1" t="s">
        <v>36</v>
      </c>
      <c r="J18" s="1" t="n">
        <v>49500</v>
      </c>
      <c r="K18" s="1" t="n">
        <v>0</v>
      </c>
      <c r="L18" s="1" t="n">
        <f aca="false">J18*K18</f>
        <v>0</v>
      </c>
      <c r="N18" s="16" t="n">
        <v>0</v>
      </c>
      <c r="Q18" s="16"/>
    </row>
    <row r="19" customFormat="false" ht="12.75" hidden="false" customHeight="false" outlineLevel="0" collapsed="false">
      <c r="A19" s="14" t="s">
        <v>37</v>
      </c>
      <c r="B19" s="15" t="s">
        <v>38</v>
      </c>
      <c r="C19" s="16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8" t="n">
        <f aca="false">((C19/9)*12)-75000-75000-50000-25000</f>
        <v>145613.76</v>
      </c>
      <c r="G19" s="17" t="n">
        <f aca="false">E19/$E$23</f>
        <v>0.00667773193955472</v>
      </c>
      <c r="H19" s="16" t="n">
        <f aca="false">(E19/$E$29)*$K$11</f>
        <v>7280.688</v>
      </c>
      <c r="I19" s="1" t="s">
        <v>39</v>
      </c>
      <c r="J19" s="1" t="n">
        <v>57750</v>
      </c>
      <c r="K19" s="1" t="n">
        <v>0</v>
      </c>
      <c r="L19" s="1" t="n">
        <f aca="false">J19*K19</f>
        <v>0</v>
      </c>
      <c r="N19" s="16" t="n">
        <v>100000</v>
      </c>
      <c r="Q19" s="16"/>
    </row>
    <row r="20" customFormat="false" ht="12.75" hidden="false" customHeight="false" outlineLevel="0" collapsed="false">
      <c r="A20" s="14" t="s">
        <v>40</v>
      </c>
      <c r="B20" s="15" t="s">
        <v>41</v>
      </c>
      <c r="C20" s="16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8" t="n">
        <f aca="false">((C20/9)*12)</f>
        <v>21.3333333333333</v>
      </c>
      <c r="G20" s="17" t="n">
        <f aca="false">E20/$E$23</f>
        <v>9.7832980466384E-007</v>
      </c>
      <c r="H20" s="16" t="n">
        <f aca="false">(E20/$E$29)*$K$11</f>
        <v>1.06666666666667</v>
      </c>
      <c r="I20" s="1" t="s">
        <v>42</v>
      </c>
      <c r="J20" s="1" t="n">
        <v>71500</v>
      </c>
      <c r="K20" s="1" t="n">
        <v>0</v>
      </c>
      <c r="L20" s="1" t="n">
        <f aca="false">J20*K20</f>
        <v>0</v>
      </c>
      <c r="N20" s="16" t="n">
        <v>1</v>
      </c>
      <c r="Q20" s="16"/>
    </row>
    <row r="21" customFormat="false" ht="12.75" hidden="false" customHeight="false" outlineLevel="0" collapsed="false">
      <c r="A21" s="14" t="s">
        <v>43</v>
      </c>
      <c r="B21" s="15" t="s">
        <v>44</v>
      </c>
      <c r="C21" s="16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8" t="n">
        <f aca="false">((C21/9)*12)-75000</f>
        <v>181051.88</v>
      </c>
      <c r="G21" s="17" t="n">
        <f aca="false">E21/$E$23</f>
        <v>0.00830289611223848</v>
      </c>
      <c r="H21" s="16" t="n">
        <f aca="false">(E21/$E$29)*$K$11</f>
        <v>9052.59399999999</v>
      </c>
      <c r="I21" s="1" t="s">
        <v>45</v>
      </c>
      <c r="J21" s="1" t="n">
        <v>60500</v>
      </c>
      <c r="K21" s="1" t="n">
        <v>1</v>
      </c>
      <c r="L21" s="1" t="n">
        <f aca="false">J21*K21</f>
        <v>60500</v>
      </c>
      <c r="N21" s="16" t="n">
        <v>15000</v>
      </c>
      <c r="P21" s="23"/>
      <c r="Q21" s="16"/>
    </row>
    <row r="22" customFormat="false" ht="12.75" hidden="false" customHeight="false" outlineLevel="0" collapsed="false">
      <c r="A22" s="14" t="s">
        <v>46</v>
      </c>
      <c r="B22" s="15" t="s">
        <v>47</v>
      </c>
      <c r="C22" s="16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8" t="n">
        <f aca="false">((C22/9)*12)-1000000-100000</f>
        <v>5242795.57333334</v>
      </c>
      <c r="G22" s="17" t="n">
        <f aca="false">E22/$E$23</f>
        <v>0.240430461053984</v>
      </c>
      <c r="H22" s="16" t="n">
        <v>3571654.51</v>
      </c>
      <c r="I22" s="1" t="s">
        <v>48</v>
      </c>
      <c r="J22" s="1" t="n">
        <v>89100</v>
      </c>
      <c r="K22" s="1" t="n">
        <v>0</v>
      </c>
      <c r="L22" s="1" t="n">
        <f aca="false">J22*K22</f>
        <v>0</v>
      </c>
      <c r="N22" s="16" t="n">
        <v>3571655</v>
      </c>
      <c r="P22" s="23"/>
      <c r="Q22" s="16"/>
    </row>
    <row r="23" customFormat="false" ht="12.75" hidden="false" customHeight="false" outlineLevel="0" collapsed="false">
      <c r="A23" s="24" t="s">
        <v>49</v>
      </c>
      <c r="B23" s="25" t="s">
        <v>50</v>
      </c>
      <c r="C23" s="26" t="n">
        <f aca="false">SUM(C8:C22)</f>
        <v>23348090.12</v>
      </c>
      <c r="E23" s="26" t="n">
        <f aca="false">SUM(E8:E22)</f>
        <v>21805870.8133333</v>
      </c>
      <c r="G23" s="27" t="n">
        <f aca="false">E23/$E$23</f>
        <v>1</v>
      </c>
      <c r="H23" s="26" t="n">
        <f aca="false">SUM(H8:H22)</f>
        <v>5208396.18133333</v>
      </c>
      <c r="I23" s="1" t="s">
        <v>51</v>
      </c>
      <c r="J23" s="1" t="n">
        <v>110000</v>
      </c>
      <c r="K23" s="1" t="n">
        <v>2</v>
      </c>
      <c r="L23" s="1" t="n">
        <f aca="false">J23*K23</f>
        <v>220000</v>
      </c>
      <c r="N23" s="26" t="n">
        <f aca="false">SUM(N8:N22)</f>
        <v>5208396</v>
      </c>
      <c r="P23" s="23"/>
      <c r="Q23" s="28"/>
    </row>
    <row r="24" customFormat="false" ht="12.75" hidden="false" customHeight="false" outlineLevel="0" collapsed="false">
      <c r="I24" s="1" t="s">
        <v>52</v>
      </c>
      <c r="J24" s="1" t="n">
        <v>143000</v>
      </c>
      <c r="K24" s="1" t="n">
        <v>4</v>
      </c>
      <c r="L24" s="1" t="n">
        <f aca="false">J24*K24</f>
        <v>572000</v>
      </c>
      <c r="P24" s="23"/>
      <c r="Q24" s="23"/>
    </row>
    <row r="25" customFormat="false" ht="12.75" hidden="false" customHeight="false" outlineLevel="0" collapsed="false">
      <c r="B25" s="25" t="s">
        <v>53</v>
      </c>
      <c r="C25" s="16"/>
      <c r="E25" s="29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29" t="n">
        <f aca="false">+K16+K17+K18+K19+K20+K23+K24+K25+K26+K27</f>
        <v>7</v>
      </c>
      <c r="I25" s="1" t="s">
        <v>54</v>
      </c>
      <c r="J25" s="1" t="n">
        <v>165000</v>
      </c>
      <c r="K25" s="1" t="n">
        <v>0</v>
      </c>
      <c r="L25" s="1" t="n">
        <f aca="false">J25*K25</f>
        <v>0</v>
      </c>
      <c r="P25" s="23"/>
      <c r="Q25" s="16"/>
    </row>
    <row r="26" customFormat="false" ht="12.75" hidden="false" customHeight="false" outlineLevel="0" collapsed="false">
      <c r="C26" s="16"/>
      <c r="E26" s="16"/>
      <c r="H26" s="16"/>
      <c r="I26" s="1" t="s">
        <v>55</v>
      </c>
      <c r="J26" s="1" t="n">
        <v>198000</v>
      </c>
      <c r="K26" s="1" t="n">
        <v>1</v>
      </c>
      <c r="L26" s="1" t="n">
        <f aca="false">J26*K26</f>
        <v>198000</v>
      </c>
      <c r="P26" s="23"/>
      <c r="Q26" s="16"/>
    </row>
    <row r="27" customFormat="false" ht="12.75" hidden="false" customHeight="false" outlineLevel="0" collapsed="false">
      <c r="B27" s="25" t="s">
        <v>56</v>
      </c>
      <c r="C27" s="16"/>
      <c r="E27" s="29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29" t="n">
        <f aca="false">+K21+K22</f>
        <v>1</v>
      </c>
      <c r="I27" s="1" t="s">
        <v>57</v>
      </c>
      <c r="J27" s="1" t="n">
        <v>220000</v>
      </c>
      <c r="K27" s="1" t="n">
        <v>0</v>
      </c>
      <c r="L27" s="1" t="n">
        <f aca="false">J27*K27</f>
        <v>0</v>
      </c>
      <c r="P27" s="23"/>
      <c r="Q27" s="16"/>
    </row>
    <row r="28" customFormat="false" ht="12.75" hidden="false" customHeight="false" outlineLevel="0" collapsed="false">
      <c r="K28" s="1" t="n">
        <f aca="false">SUM(K16:K27)</f>
        <v>8</v>
      </c>
      <c r="L28" s="1" t="n">
        <f aca="false">SUM(L16:L27)*1.2</f>
        <v>1260600</v>
      </c>
      <c r="P28" s="23"/>
      <c r="Q28" s="23"/>
    </row>
    <row r="29" customFormat="false" ht="12.75" hidden="false" customHeight="false" outlineLevel="0" collapsed="false">
      <c r="B29" s="25" t="s">
        <v>58</v>
      </c>
      <c r="C29" s="16"/>
      <c r="E29" s="29" t="n">
        <f aca="false">SUM(E25:E27)</f>
        <v>160</v>
      </c>
      <c r="G29" s="1"/>
      <c r="H29" s="29" t="n">
        <f aca="false">SUM(H25:H27)</f>
        <v>8</v>
      </c>
      <c r="L29" s="30" t="n">
        <v>0.2</v>
      </c>
      <c r="P29" s="23"/>
      <c r="Q29" s="16"/>
    </row>
    <row r="30" customFormat="false" ht="12.75" hidden="true" customHeight="false" outlineLevel="0" collapsed="false">
      <c r="L30" s="1" t="n">
        <f aca="false">L28*1.2</f>
        <v>1512720</v>
      </c>
      <c r="P30" s="23"/>
      <c r="Q30" s="23"/>
    </row>
    <row r="31" customFormat="false" ht="12.75" hidden="true" customHeight="false" outlineLevel="0" collapsed="false">
      <c r="H31" s="31" t="s">
        <v>59</v>
      </c>
      <c r="L31" s="0"/>
      <c r="P31" s="23"/>
      <c r="Q31" s="23"/>
    </row>
    <row r="32" customFormat="false" ht="12.75" hidden="true" customHeight="false" outlineLevel="0" collapsed="false">
      <c r="B32" s="15" t="s">
        <v>25</v>
      </c>
      <c r="C32" s="16" t="n">
        <v>254512</v>
      </c>
      <c r="L32" s="0"/>
      <c r="P32" s="23"/>
      <c r="Q32" s="23"/>
    </row>
    <row r="33" customFormat="false" ht="12.75" hidden="true" customHeight="false" outlineLevel="0" collapsed="false">
      <c r="H33" s="32" t="s">
        <v>60</v>
      </c>
      <c r="I33" s="33" t="s">
        <v>61</v>
      </c>
      <c r="J33" s="33" t="s">
        <v>62</v>
      </c>
      <c r="K33" s="33" t="s">
        <v>3</v>
      </c>
      <c r="L33" s="33" t="s">
        <v>63</v>
      </c>
      <c r="P33" s="23"/>
      <c r="Q33" s="23"/>
    </row>
    <row r="34" customFormat="false" ht="12.75" hidden="true" customHeight="false" outlineLevel="0" collapsed="false">
      <c r="H34" s="34" t="n">
        <f aca="false">SUM(E12:E22)</f>
        <v>7723229</v>
      </c>
      <c r="I34" s="33" t="n">
        <f aca="false">+E29</f>
        <v>160</v>
      </c>
      <c r="J34" s="33" t="n">
        <f aca="false">+H34/I34</f>
        <v>48270.18125</v>
      </c>
      <c r="K34" s="33" t="n">
        <f aca="false">+K11</f>
        <v>8</v>
      </c>
      <c r="L34" s="33" t="n">
        <f aca="false">+J34*K34</f>
        <v>386161.45</v>
      </c>
      <c r="P34" s="23"/>
      <c r="Q34" s="23"/>
    </row>
    <row r="35" customFormat="false" ht="12.75" hidden="true" customHeight="false" outlineLevel="0" collapsed="false">
      <c r="P35" s="23"/>
      <c r="Q35" s="23"/>
    </row>
    <row r="36" customFormat="false" ht="12.75" hidden="true" customHeight="false" outlineLevel="0" collapsed="false">
      <c r="P36" s="23"/>
      <c r="Q36" s="23"/>
    </row>
    <row r="37" customFormat="false" ht="12.75" hidden="true" customHeight="false" outlineLevel="0" collapsed="false">
      <c r="P37" s="23"/>
      <c r="Q37" s="23"/>
    </row>
    <row r="38" customFormat="false" ht="12.75" hidden="true" customHeight="false" outlineLevel="0" collapsed="false">
      <c r="P38" s="23"/>
      <c r="Q38" s="23"/>
    </row>
    <row r="39" customFormat="false" ht="12.75" hidden="false" customHeight="false" outlineLevel="0" collapsed="false">
      <c r="P39" s="23"/>
      <c r="Q39" s="23"/>
    </row>
    <row r="40" customFormat="false" ht="12.75" hidden="false" customHeight="false" outlineLevel="0" collapsed="false">
      <c r="B40" s="0" t="s">
        <v>72</v>
      </c>
      <c r="H40" s="0" t="s">
        <v>67</v>
      </c>
    </row>
    <row r="41" customFormat="false" ht="12.75" hidden="false" customHeight="false" outlineLevel="0" collapsed="false">
      <c r="B41" s="0" t="s">
        <v>73</v>
      </c>
      <c r="H41" s="0" t="s">
        <v>52</v>
      </c>
    </row>
    <row r="42" customFormat="false" ht="12.75" hidden="false" customHeight="false" outlineLevel="0" collapsed="false">
      <c r="B42" s="0" t="s">
        <v>74</v>
      </c>
      <c r="H42" s="0" t="s">
        <v>52</v>
      </c>
    </row>
    <row r="43" customFormat="false" ht="12.75" hidden="false" customHeight="false" outlineLevel="0" collapsed="false">
      <c r="B43" s="0" t="s">
        <v>75</v>
      </c>
      <c r="H43" s="0" t="s">
        <v>52</v>
      </c>
    </row>
    <row r="44" customFormat="false" ht="12.75" hidden="false" customHeight="false" outlineLevel="0" collapsed="false">
      <c r="B44" s="0" t="s">
        <v>76</v>
      </c>
      <c r="H44" s="0" t="s">
        <v>52</v>
      </c>
    </row>
    <row r="45" customFormat="false" ht="12.75" hidden="false" customHeight="false" outlineLevel="0" collapsed="false">
      <c r="B45" s="0" t="s">
        <v>77</v>
      </c>
      <c r="H45" s="0" t="s">
        <v>51</v>
      </c>
    </row>
    <row r="46" customFormat="false" ht="12.75" hidden="false" customHeight="false" outlineLevel="0" collapsed="false">
      <c r="B46" s="0" t="s">
        <v>78</v>
      </c>
      <c r="H46" s="0" t="s">
        <v>51</v>
      </c>
    </row>
    <row r="47" customFormat="false" ht="12.75" hidden="false" customHeight="false" outlineLevel="0" collapsed="false">
      <c r="B47" s="0" t="s">
        <v>79</v>
      </c>
      <c r="H47" s="0" t="s">
        <v>45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2002-01-02T15:09:58Z</dcterms:created>
  <dc:creator>dvandor</dc:creator>
  <dc:description/>
  <dc:language>en-US</dc:language>
  <cp:lastModifiedBy>least</cp:lastModifiedBy>
  <cp:lastPrinted>2002-01-02T21:32:08Z</cp:lastPrinted>
  <dcterms:modified xsi:type="dcterms:W3CDTF">2002-01-03T14:08:12Z</dcterms:modified>
  <cp:revision>0</cp:revision>
  <dc:subject/>
  <dc:title/>
</cp:coreProperties>
</file>