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<sst xmlns="http://schemas.openxmlformats.org/spreadsheetml/2006/main" count="591" uniqueCount="164">
  <si>
    <t xml:space="preserve">RETAIL MATRIX</t>
  </si>
  <si>
    <t xml:space="preserve">Firm Transport MDQ's will be utilized first for each delivery</t>
  </si>
  <si>
    <t xml:space="preserve">point designated by CES.</t>
  </si>
  <si>
    <t xml:space="preserve">Pricing for all volumes in excess of Firm Transport MDQ's</t>
  </si>
  <si>
    <t xml:space="preserve">will equal the stated index (column D) plus the</t>
  </si>
  <si>
    <t xml:space="preserve">increment found under the month of delivery.</t>
  </si>
  <si>
    <t xml:space="preserve">All differentials stated include all charges to the delivery </t>
  </si>
  <si>
    <t xml:space="preserve">point based on a $2.50/Dt cost at the receipt 'pool'.</t>
  </si>
  <si>
    <t xml:space="preserve">All excess pricing assumes secondary firm delivery.</t>
  </si>
  <si>
    <t xml:space="preserve">All volumes are stated in Dt/D.</t>
  </si>
  <si>
    <t xml:space="preserve">DELIVERY MONTH</t>
  </si>
  <si>
    <t xml:space="preserve">TCO DELIVERED - VARIOUS CITYGATES</t>
  </si>
  <si>
    <t xml:space="preserve">TCO POOL FOM I-FERC PREMIUM</t>
  </si>
  <si>
    <t xml:space="preserve">SECONDARY TRANSPORT FROM POOL - </t>
  </si>
  <si>
    <t xml:space="preserve">INC. COMM &amp; FUEL W/ $2.50 POOL</t>
  </si>
  <si>
    <t xml:space="preserve">OP 1</t>
  </si>
  <si>
    <t xml:space="preserve">MKT 33</t>
  </si>
  <si>
    <t xml:space="preserve">FOM (IF-TCO APP. POOL)</t>
  </si>
  <si>
    <t xml:space="preserve">DAILY (GDD-TCO POOL)</t>
  </si>
  <si>
    <t xml:space="preserve">CES MARKET - COMM &amp; INDUSTRIAL</t>
  </si>
  <si>
    <t xml:space="preserve">TRANSPORT AVAILABLE</t>
  </si>
  <si>
    <t xml:space="preserve">CES MARKET - CHOICE PROGRAMS</t>
  </si>
  <si>
    <t xml:space="preserve">GATES SERVED:</t>
  </si>
  <si>
    <t xml:space="preserve">CGV, HOPEWELL, ALLIED SIGNAL, CITY OF RICHMOND</t>
  </si>
  <si>
    <t xml:space="preserve">MKT 34</t>
  </si>
  <si>
    <t xml:space="preserve">CGV, NORTH CAROLINA NATURAL, VIRGINIA NATURAL, CALP</t>
  </si>
  <si>
    <t xml:space="preserve">OP 2</t>
  </si>
  <si>
    <t xml:space="preserve">MKT 20</t>
  </si>
  <si>
    <t xml:space="preserve">NYSEG</t>
  </si>
  <si>
    <t xml:space="preserve">OP 3</t>
  </si>
  <si>
    <t xml:space="preserve">MKT 15</t>
  </si>
  <si>
    <t xml:space="preserve">COLUMBIA OF KENTUCKY, COLUMBIA OF OHIO, KENTUCKY OHIO</t>
  </si>
  <si>
    <t xml:space="preserve">MKT 16</t>
  </si>
  <si>
    <t xml:space="preserve">COLUMBIA OF KENTUCKY, MOUNTAINEER GAS</t>
  </si>
  <si>
    <t xml:space="preserve">MKT 17</t>
  </si>
  <si>
    <t xml:space="preserve">COLUMBIA OF VIRGINIA, MOUNTAINEER GAS</t>
  </si>
  <si>
    <t xml:space="preserve">MKT 18</t>
  </si>
  <si>
    <t xml:space="preserve">COLUMBIA OF KENTUCKY, COLUMBIA OF VIRGINIA, MOUNTAINEER GAS</t>
  </si>
  <si>
    <t xml:space="preserve">MKT 19</t>
  </si>
  <si>
    <t xml:space="preserve">MOUNTAINEER GAS, TRANSPORT GAS</t>
  </si>
  <si>
    <t xml:space="preserve">OP 4</t>
  </si>
  <si>
    <t xml:space="preserve">MKT 21</t>
  </si>
  <si>
    <t xml:space="preserve">ORANGE &amp; ROCKLAND, PENN FUELS, PHILLY GAS &amp;WATER</t>
  </si>
  <si>
    <t xml:space="preserve">MKT 22</t>
  </si>
  <si>
    <t xml:space="preserve">NUI, NJ NATURAL</t>
  </si>
  <si>
    <t xml:space="preserve">MKT 23</t>
  </si>
  <si>
    <t xml:space="preserve">NUI, UGI</t>
  </si>
  <si>
    <t xml:space="preserve">MKT 24</t>
  </si>
  <si>
    <t xml:space="preserve">WEST DEPFORD, DELMARVA, SOUTH JERSEY</t>
  </si>
  <si>
    <t xml:space="preserve">MKT 25</t>
  </si>
  <si>
    <t xml:space="preserve">COLUMBIA OF PENNSYLVANIA, COLUMBIA OF MARYLAND, PENN FUELS, UGI</t>
  </si>
  <si>
    <t xml:space="preserve">MKT 29</t>
  </si>
  <si>
    <t xml:space="preserve">COLUMBIA OF PENNSYLVANIA, PENN FUELS, EASTERN SHORE</t>
  </si>
  <si>
    <t xml:space="preserve">OP 5</t>
  </si>
  <si>
    <t xml:space="preserve">MKT 2</t>
  </si>
  <si>
    <t xml:space="preserve">COLUMBIA OF OHIO, EAST OHIO GAS, OHIO GAS CO.</t>
  </si>
  <si>
    <t xml:space="preserve">MKT 7</t>
  </si>
  <si>
    <t xml:space="preserve">COLUMBIA OF OHIO</t>
  </si>
  <si>
    <t xml:space="preserve">OP 6</t>
  </si>
  <si>
    <t xml:space="preserve">MKT 10</t>
  </si>
  <si>
    <t xml:space="preserve">CG&amp;E, COLUMBIA OF KENTUCKY, DAYTON POWER &amp; LIGHT, UNION LH &amp; P</t>
  </si>
  <si>
    <t xml:space="preserve">MKT 11</t>
  </si>
  <si>
    <t xml:space="preserve">CG&amp;E, COLUMBIA OF KENTUCKY</t>
  </si>
  <si>
    <t xml:space="preserve">MKT 12</t>
  </si>
  <si>
    <t xml:space="preserve">COLUMBIA OF KENTUCKY, DAYTON POWER &amp; LIGHT</t>
  </si>
  <si>
    <t xml:space="preserve">MKT 13</t>
  </si>
  <si>
    <t xml:space="preserve">MKT 14</t>
  </si>
  <si>
    <t xml:space="preserve">OP 7</t>
  </si>
  <si>
    <t xml:space="preserve">MKT 1</t>
  </si>
  <si>
    <t xml:space="preserve">TRANSPORT AVAILABLE - Month To Month Release</t>
  </si>
  <si>
    <t xml:space="preserve">COLUMBIA OF OHIO, SGC</t>
  </si>
  <si>
    <t xml:space="preserve">MKT 3</t>
  </si>
  <si>
    <t xml:space="preserve">COLUMBIA OF OHIO, SGC, DAYTON POWER &amp;LIGHT, EAST OHIO GAS</t>
  </si>
  <si>
    <t xml:space="preserve">MKT 4</t>
  </si>
  <si>
    <t xml:space="preserve">COLUMBIA OF OHIO, NORTHEAST OHIO</t>
  </si>
  <si>
    <t xml:space="preserve">MKT 5</t>
  </si>
  <si>
    <t xml:space="preserve">MKT 6</t>
  </si>
  <si>
    <t xml:space="preserve">CG&amp;E, COLUMBIA OF OHIO, DAYTON POWER &amp; LIGHT</t>
  </si>
  <si>
    <t xml:space="preserve">MKT 8</t>
  </si>
  <si>
    <t xml:space="preserve">COLUMBIA OF OHIO, NGO, OCG</t>
  </si>
  <si>
    <t xml:space="preserve">MKT 9</t>
  </si>
  <si>
    <t xml:space="preserve">OP 8</t>
  </si>
  <si>
    <t xml:space="preserve">MKT 26</t>
  </si>
  <si>
    <t xml:space="preserve">COLUMBIA OF MARYLAND, COLUMBIA OF PENNSYLVANIA, MOUNTAINEER GAS</t>
  </si>
  <si>
    <t xml:space="preserve">MKT 27</t>
  </si>
  <si>
    <t xml:space="preserve">COLUMBIA OF MARYLAND, MOUNTAINEER GAS</t>
  </si>
  <si>
    <t xml:space="preserve">MKT 32</t>
  </si>
  <si>
    <t xml:space="preserve">MKT 35</t>
  </si>
  <si>
    <t xml:space="preserve">COLUMBIA OF OHIO, COLUMBIA OF PENNSYLVANIA, MOUNTAINEER GAS</t>
  </si>
  <si>
    <t xml:space="preserve">MKT 36</t>
  </si>
  <si>
    <t xml:space="preserve">COLUMBIA OF PENNSYLVANIA, NYSEG, PENN FUELS, PHILLY GAS &amp; WATER, TW PHILLIPS</t>
  </si>
  <si>
    <t xml:space="preserve">MKT 38</t>
  </si>
  <si>
    <t xml:space="preserve">COLUMBIA OF PENNSYLVANIA, TW PHILLIPS</t>
  </si>
  <si>
    <t xml:space="preserve">MKT 39</t>
  </si>
  <si>
    <t xml:space="preserve">COLUMBIA OF OHIO, COLUMBIA OF PENNSYLVANIA, TW PHILLIPS</t>
  </si>
  <si>
    <t xml:space="preserve">MKT 40</t>
  </si>
  <si>
    <t xml:space="preserve">COLUMBIA OF PENNSYLVANIA, MOUNTAINEER GAS</t>
  </si>
  <si>
    <t xml:space="preserve">OP 10</t>
  </si>
  <si>
    <t xml:space="preserve">MKT 28</t>
  </si>
  <si>
    <t xml:space="preserve">WASHINGTON GAS LIGHT, BG&amp;E</t>
  </si>
  <si>
    <t xml:space="preserve">MKT 30</t>
  </si>
  <si>
    <t xml:space="preserve">MOUNTAINEER GAS, COLUMBIA OF VIRGINIA, WASHINGTON GAS LIGHT</t>
  </si>
  <si>
    <t xml:space="preserve">MKT 31</t>
  </si>
  <si>
    <t xml:space="preserve">COLUMBIA OF VIRGINIA, ROANOKE GAS CO</t>
  </si>
  <si>
    <t xml:space="preserve">CNG DELIVERED</t>
  </si>
  <si>
    <t xml:space="preserve">NORTH of VALLEY GATE</t>
  </si>
  <si>
    <t xml:space="preserve">FOM (IF-CNG APP)</t>
  </si>
  <si>
    <t xml:space="preserve">DAILY (GDD-CNG NORTH POOL)</t>
  </si>
  <si>
    <t xml:space="preserve">RG&amp;E, NIAGARA MOHAWK, NYSEG, HANLEY &amp; BIRD</t>
  </si>
  <si>
    <t xml:space="preserve">SOUTH of VALLEY GATE</t>
  </si>
  <si>
    <t xml:space="preserve">DAILY (GDD-CNG SOUTH POOL)</t>
  </si>
  <si>
    <t xml:space="preserve">EAST OHIO, HOPE GAS, PEOPLES</t>
  </si>
  <si>
    <t xml:space="preserve">TEXAS EASTERN</t>
  </si>
  <si>
    <t xml:space="preserve">M3</t>
  </si>
  <si>
    <t xml:space="preserve">FOM (IF-TETCO M3)</t>
  </si>
  <si>
    <t xml:space="preserve">DAILY (GDD-TETCO M3)</t>
  </si>
  <si>
    <t xml:space="preserve">BROOKLYN UNION, PECO, PENN FUELS, UGI</t>
  </si>
  <si>
    <t xml:space="preserve">TRANSCO</t>
  </si>
  <si>
    <t xml:space="preserve">ZONE 4</t>
  </si>
  <si>
    <t xml:space="preserve">FOM (IF-TRANSCO STA 65)</t>
  </si>
  <si>
    <t xml:space="preserve">DAILY (GDD-TRANSCO STA 65)</t>
  </si>
  <si>
    <t xml:space="preserve">TRANSPORT AVAILABLE - Month to Month</t>
  </si>
  <si>
    <t xml:space="preserve">ATLANTA GAS LIGHT</t>
  </si>
  <si>
    <t xml:space="preserve">ZONE 5</t>
  </si>
  <si>
    <t xml:space="preserve">DAILY (GDD-TRANSCO NNY)</t>
  </si>
  <si>
    <t xml:space="preserve">WASHINGTON GAS LIGHT, PIEDMONT, PSNC</t>
  </si>
  <si>
    <t xml:space="preserve">ZONE 6 NNY</t>
  </si>
  <si>
    <t xml:space="preserve">BG&amp;E, DELMARVA, ELIZABETH TOWN, NJ NATURAL, PECO, SOUTH JERSEY</t>
  </si>
  <si>
    <t xml:space="preserve">ZONE 6 NY</t>
  </si>
  <si>
    <t xml:space="preserve">FOM (IF-TRANSCO NY)</t>
  </si>
  <si>
    <t xml:space="preserve">DAILY (GDD-TRANSCO NY)</t>
  </si>
  <si>
    <t xml:space="preserve">BROOKLYN UNION, CON ED, LILCO, PSEG</t>
  </si>
  <si>
    <t xml:space="preserve">TENNESSEE </t>
  </si>
  <si>
    <t xml:space="preserve">ORANGE &amp; ROCKLAND, NYSEG</t>
  </si>
  <si>
    <t xml:space="preserve">ZONE 6</t>
  </si>
  <si>
    <t xml:space="preserve">FOM (IF-TETCO M3) </t>
  </si>
  <si>
    <t xml:space="preserve">DAILY (GDD-TENNESSEE Z6)</t>
  </si>
  <si>
    <t xml:space="preserve">CES MARKET</t>
  </si>
  <si>
    <t xml:space="preserve">BAYSTATE, BERKSHIRE, BOSTON GAS, COLONIAL GAS, COMMONWEALTH, CONNECTICUT NATURAL GAS, ENERGY NORTH NORTHERN UTILITIES, SOUTHERN CONNECTICUT</t>
  </si>
  <si>
    <t xml:space="preserve">EAST TENNESSEE</t>
  </si>
  <si>
    <t xml:space="preserve">FOM </t>
  </si>
  <si>
    <t xml:space="preserve">DAILY</t>
  </si>
  <si>
    <t xml:space="preserve">ALGONQUIN DELIVERED</t>
  </si>
  <si>
    <t xml:space="preserve">DAILY (GDD-Algonquin)</t>
  </si>
  <si>
    <t xml:space="preserve">IROQUOIS DELIVERED</t>
  </si>
  <si>
    <t xml:space="preserve">FOM</t>
  </si>
  <si>
    <t xml:space="preserve">NO ADDITIONAL NEEDS</t>
  </si>
  <si>
    <t xml:space="preserve">ALL DEALS ARE BACK TO BACK - VOLUMETRIC</t>
  </si>
  <si>
    <t xml:space="preserve">EQUITRANS DELIVERED</t>
  </si>
  <si>
    <t xml:space="preserve">EQUITABLE</t>
  </si>
  <si>
    <t xml:space="preserve">TEXAS GAS</t>
  </si>
  <si>
    <t xml:space="preserve">CG&amp;E, WESTERN KENTUCKY</t>
  </si>
  <si>
    <t xml:space="preserve">SONAT</t>
  </si>
  <si>
    <t xml:space="preserve">ZONE 3</t>
  </si>
  <si>
    <t xml:space="preserve">FOM (IF-SONAT LA)</t>
  </si>
  <si>
    <t xml:space="preserve">DAILY (GDD-SONAT LA)</t>
  </si>
  <si>
    <t xml:space="preserve">CES MARKET - CHOICE PROGRAMS and COMM &amp; IND.</t>
  </si>
  <si>
    <t xml:space="preserve">MICHCON</t>
  </si>
  <si>
    <t xml:space="preserve">FOM (GDM-ANR ML7)</t>
  </si>
  <si>
    <t xml:space="preserve">DAILY (GDD-ANR ML7)</t>
  </si>
  <si>
    <t xml:space="preserve">NGPL</t>
  </si>
  <si>
    <t xml:space="preserve">FOM (NGI-CHICAGO)</t>
  </si>
  <si>
    <t xml:space="preserve">DAILY (GDD-CHICAGO)</t>
  </si>
  <si>
    <t xml:space="preserve">NIPSCO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</si>
</sst>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\$#,##0.0000"/>
    <numFmt numFmtId="167" formatCode="#,##0"/>
    <numFmt numFmtId="168" formatCode="_(* #,##0.00_);_(* \(#,##0.00\);_(* \-??_);_(@_)"/>
    <numFmt numFmtId="169" formatCode="_(* #,##0_);_(* \(#,##0\);_(* \-??_);_(@_)"/>
    <numFmt numFmtId="170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Q7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7.14"/>
    <col collapsed="false" customWidth="true" hidden="false" outlineLevel="0" max="4" min="4" style="0" width="46.85"/>
    <col collapsed="false" customWidth="true" hidden="false" outlineLevel="0" max="5" min="5" style="0" width="2.84"/>
    <col collapsed="false" customWidth="true" hidden="false" outlineLevel="0" max="7" min="6" style="0" width="13.14"/>
    <col collapsed="false" customWidth="true" hidden="false" outlineLevel="0" max="8" min="8" style="0" width="13.85"/>
    <col collapsed="false" customWidth="true" hidden="false" outlineLevel="0" max="9" min="9" style="0" width="13.14"/>
    <col collapsed="false" customWidth="true" hidden="false" outlineLevel="0" max="20" min="10" style="0" width="12.14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</row>
    <row r="2" customFormat="false" ht="12.75" hidden="false" customHeight="false" outlineLevel="0" collapsed="false">
      <c r="A2" s="1"/>
      <c r="B2" s="1"/>
      <c r="C2" s="1"/>
      <c r="D2" s="1"/>
    </row>
    <row r="3" customFormat="false" ht="12.75" hidden="false" customHeight="false" outlineLevel="0" collapsed="false">
      <c r="A3" s="1"/>
      <c r="B3" s="1" t="s">
        <v>1</v>
      </c>
      <c r="C3" s="1"/>
      <c r="D3" s="1"/>
    </row>
    <row r="4" customFormat="false" ht="12.75" hidden="false" customHeight="false" outlineLevel="0" collapsed="false">
      <c r="A4" s="1"/>
      <c r="B4" s="1"/>
      <c r="C4" s="1" t="s">
        <v>2</v>
      </c>
      <c r="D4" s="1"/>
    </row>
    <row r="5" customFormat="false" ht="12.75" hidden="false" customHeight="false" outlineLevel="0" collapsed="false">
      <c r="A5" s="1"/>
      <c r="B5" s="1" t="s">
        <v>3</v>
      </c>
      <c r="C5" s="1"/>
      <c r="D5" s="1"/>
    </row>
    <row r="6" customFormat="false" ht="12.75" hidden="false" customHeight="false" outlineLevel="0" collapsed="false">
      <c r="A6" s="1"/>
      <c r="B6" s="1"/>
      <c r="C6" s="1" t="s">
        <v>4</v>
      </c>
      <c r="D6" s="1"/>
    </row>
    <row r="7" customFormat="false" ht="12.75" hidden="false" customHeight="false" outlineLevel="0" collapsed="false">
      <c r="A7" s="1"/>
      <c r="B7" s="1"/>
      <c r="C7" s="1" t="s">
        <v>5</v>
      </c>
      <c r="D7" s="1"/>
    </row>
    <row r="8" customFormat="false" ht="12.75" hidden="false" customHeight="false" outlineLevel="0" collapsed="false">
      <c r="A8" s="1"/>
      <c r="B8" s="1" t="s">
        <v>6</v>
      </c>
      <c r="C8" s="1"/>
      <c r="D8" s="1"/>
    </row>
    <row r="9" customFormat="false" ht="12.75" hidden="false" customHeight="false" outlineLevel="0" collapsed="false">
      <c r="A9" s="1"/>
      <c r="B9" s="1"/>
      <c r="C9" s="1" t="s">
        <v>7</v>
      </c>
      <c r="D9" s="1"/>
    </row>
    <row r="10" customFormat="false" ht="12.75" hidden="false" customHeight="false" outlineLevel="0" collapsed="false">
      <c r="A10" s="1"/>
      <c r="B10" s="1" t="s">
        <v>8</v>
      </c>
      <c r="C10" s="1"/>
      <c r="D10" s="1"/>
    </row>
    <row r="11" customFormat="false" ht="12.75" hidden="false" customHeight="false" outlineLevel="0" collapsed="false">
      <c r="A11" s="1"/>
      <c r="B11" s="1" t="s">
        <v>9</v>
      </c>
      <c r="C11" s="1"/>
      <c r="D11" s="1"/>
    </row>
    <row r="12" customFormat="false" ht="12.75" hidden="false" customHeight="false" outlineLevel="0" collapsed="false">
      <c r="A12" s="1"/>
      <c r="B12" s="1"/>
      <c r="C12" s="1"/>
      <c r="D12" s="1"/>
    </row>
    <row r="13" customFormat="false" ht="12.75" hidden="false" customHeight="false" outlineLevel="0" collapsed="false">
      <c r="A13" s="1"/>
      <c r="B13" s="1"/>
      <c r="C13" s="1"/>
      <c r="D13" s="1"/>
      <c r="F13" s="1" t="s">
        <v>10</v>
      </c>
    </row>
    <row r="14" customFormat="false" ht="12.75" hidden="false" customHeight="false" outlineLevel="0" collapsed="false">
      <c r="F14" s="2" t="n">
        <v>36526</v>
      </c>
      <c r="G14" s="2" t="n">
        <v>36557</v>
      </c>
      <c r="H14" s="2" t="n">
        <v>36586</v>
      </c>
      <c r="I14" s="2" t="n">
        <v>36617</v>
      </c>
      <c r="J14" s="2" t="n">
        <v>36647</v>
      </c>
      <c r="K14" s="2" t="n">
        <v>36678</v>
      </c>
      <c r="L14" s="2" t="n">
        <v>36708</v>
      </c>
      <c r="M14" s="2" t="n">
        <v>36739</v>
      </c>
      <c r="N14" s="2" t="n">
        <v>36770</v>
      </c>
      <c r="O14" s="2" t="n">
        <v>36800</v>
      </c>
      <c r="P14" s="2" t="n">
        <v>36831</v>
      </c>
      <c r="Q14" s="2" t="n">
        <v>36861</v>
      </c>
      <c r="R14" s="2" t="n">
        <v>36892</v>
      </c>
      <c r="S14" s="2" t="n">
        <v>36923</v>
      </c>
      <c r="T14" s="2" t="n">
        <v>36951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</row>
    <row r="15" customFormat="false" ht="12.75" hidden="false" customHeight="false" outlineLevel="0" collapsed="false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customFormat="false" ht="12.75" hidden="false" customHeight="false" outlineLevel="0" collapsed="false">
      <c r="A16" s="1" t="s">
        <v>11</v>
      </c>
      <c r="B16" s="1"/>
      <c r="C16" s="1"/>
      <c r="D16" s="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customFormat="false" ht="12.75" hidden="false" customHeight="false" outlineLevel="0" collapsed="false">
      <c r="B17" s="1" t="s">
        <v>12</v>
      </c>
      <c r="C17" s="1"/>
      <c r="D17" s="1"/>
      <c r="E17" s="1"/>
      <c r="F17" s="5" t="n">
        <v>0.0075</v>
      </c>
      <c r="G17" s="5" t="n">
        <v>0.0075</v>
      </c>
      <c r="H17" s="5" t="n">
        <v>0.0075</v>
      </c>
      <c r="I17" s="5" t="n">
        <v>0.0075</v>
      </c>
      <c r="J17" s="5" t="n">
        <v>0.0075</v>
      </c>
      <c r="K17" s="5" t="n">
        <v>0.0075</v>
      </c>
      <c r="L17" s="5" t="n">
        <v>0.0075</v>
      </c>
      <c r="M17" s="5" t="n">
        <v>0.0075</v>
      </c>
      <c r="N17" s="5" t="n">
        <v>0.0075</v>
      </c>
      <c r="O17" s="5" t="n">
        <v>0.0075</v>
      </c>
      <c r="P17" s="5" t="n">
        <v>0.0125</v>
      </c>
      <c r="Q17" s="5" t="n">
        <v>0.0125</v>
      </c>
      <c r="R17" s="5" t="n">
        <v>0.0125</v>
      </c>
      <c r="S17" s="5" t="n">
        <v>0.0125</v>
      </c>
      <c r="T17" s="5" t="n">
        <v>0.0125</v>
      </c>
      <c r="U17" s="1"/>
      <c r="V17" s="1"/>
      <c r="W17" s="1"/>
    </row>
    <row r="18" customFormat="false" ht="12.75" hidden="false" customHeight="false" outlineLevel="0" collapsed="false">
      <c r="B18" s="1" t="s">
        <v>13</v>
      </c>
      <c r="C18" s="1"/>
      <c r="D18" s="1"/>
      <c r="E18" s="1"/>
      <c r="F18" s="5" t="n">
        <v>0.22</v>
      </c>
      <c r="G18" s="5" t="n">
        <v>0.22</v>
      </c>
      <c r="H18" s="5" t="n">
        <v>0.19</v>
      </c>
      <c r="I18" s="5" t="n">
        <v>0.15</v>
      </c>
      <c r="J18" s="5" t="n">
        <v>0.11</v>
      </c>
      <c r="K18" s="5" t="n">
        <v>0.11</v>
      </c>
      <c r="L18" s="5" t="n">
        <v>0.11</v>
      </c>
      <c r="M18" s="5" t="n">
        <v>0.11</v>
      </c>
      <c r="N18" s="5" t="n">
        <v>0.11</v>
      </c>
      <c r="O18" s="5" t="n">
        <v>0.15</v>
      </c>
      <c r="P18" s="5" t="n">
        <v>0.19</v>
      </c>
      <c r="Q18" s="5" t="n">
        <v>0.2</v>
      </c>
      <c r="R18" s="5" t="n">
        <v>0.22</v>
      </c>
      <c r="S18" s="5" t="n">
        <v>0.22</v>
      </c>
      <c r="T18" s="5" t="n">
        <v>0.19</v>
      </c>
      <c r="U18" s="1"/>
      <c r="V18" s="1"/>
      <c r="W18" s="1"/>
    </row>
    <row r="19" customFormat="false" ht="12.75" hidden="false" customHeight="false" outlineLevel="0" collapsed="false">
      <c r="B19" s="1"/>
      <c r="C19" s="1" t="s">
        <v>14</v>
      </c>
      <c r="D19" s="1"/>
      <c r="E19" s="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1"/>
      <c r="V19" s="1"/>
      <c r="W19" s="1"/>
    </row>
    <row r="20" customFormat="false" ht="12.75" hidden="false" customHeight="false" outlineLevel="0" collapsed="false"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customFormat="false" ht="12.75" hidden="false" customHeight="false" outlineLevel="0" collapsed="false">
      <c r="B21" s="1" t="s">
        <v>15</v>
      </c>
      <c r="C21" s="1" t="s">
        <v>16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customFormat="false" ht="12.75" hidden="false" customHeight="false" outlineLevel="0" collapsed="false">
      <c r="D22" s="0" t="s">
        <v>17</v>
      </c>
      <c r="F22" s="4" t="n">
        <f aca="false">$F$17+$F$18</f>
        <v>0.2275</v>
      </c>
      <c r="G22" s="4" t="n">
        <f aca="false">$G$17+$G$18</f>
        <v>0.2275</v>
      </c>
      <c r="H22" s="4" t="n">
        <f aca="false">$H$17+$H$18</f>
        <v>0.1975</v>
      </c>
      <c r="I22" s="4" t="n">
        <f aca="false">$I$17+$I$18</f>
        <v>0.1575</v>
      </c>
      <c r="J22" s="4" t="n">
        <f aca="false">$J$17+$J$18</f>
        <v>0.1175</v>
      </c>
      <c r="K22" s="4" t="n">
        <f aca="false">$K$17+$K$18</f>
        <v>0.1175</v>
      </c>
      <c r="L22" s="4" t="n">
        <f aca="false">$L$17+$L$18</f>
        <v>0.1175</v>
      </c>
      <c r="M22" s="4" t="n">
        <f aca="false">$M$17+$M$18</f>
        <v>0.1175</v>
      </c>
      <c r="N22" s="4" t="n">
        <f aca="false">$N$17+$N$18</f>
        <v>0.1175</v>
      </c>
      <c r="O22" s="4" t="n">
        <f aca="false">$O$17+$O$18</f>
        <v>0.1575</v>
      </c>
      <c r="P22" s="4" t="n">
        <f aca="false">$P$17+$P$18</f>
        <v>0.2025</v>
      </c>
      <c r="Q22" s="4" t="n">
        <f aca="false">$Q$17+$Q$18</f>
        <v>0.2125</v>
      </c>
      <c r="R22" s="4" t="n">
        <f aca="false">$R$17+$R$18</f>
        <v>0.2325</v>
      </c>
      <c r="S22" s="4" t="n">
        <f aca="false">$S$17+$S$18</f>
        <v>0.2325</v>
      </c>
      <c r="T22" s="4" t="n">
        <f aca="false">$T$17+$T$18</f>
        <v>0.2025</v>
      </c>
    </row>
    <row r="23" customFormat="false" ht="12.75" hidden="false" customHeight="false" outlineLevel="0" collapsed="false">
      <c r="D23" s="0" t="s">
        <v>18</v>
      </c>
      <c r="F23" s="4" t="n">
        <f aca="false">$F$17+$F$18</f>
        <v>0.2275</v>
      </c>
      <c r="G23" s="4" t="n">
        <f aca="false">$G$17+$G$18</f>
        <v>0.2275</v>
      </c>
      <c r="H23" s="4" t="n">
        <f aca="false">$H$17+$H$18</f>
        <v>0.1975</v>
      </c>
      <c r="I23" s="4" t="n">
        <f aca="false">$I$17+$I$18</f>
        <v>0.1575</v>
      </c>
      <c r="J23" s="4" t="n">
        <f aca="false">$J$17+$J$18</f>
        <v>0.1175</v>
      </c>
      <c r="K23" s="4" t="n">
        <f aca="false">$K$17+$K$18</f>
        <v>0.1175</v>
      </c>
      <c r="L23" s="4" t="n">
        <f aca="false">$L$17+$L$18</f>
        <v>0.1175</v>
      </c>
      <c r="M23" s="4" t="n">
        <f aca="false">$M$17+$M$18</f>
        <v>0.1175</v>
      </c>
      <c r="N23" s="4" t="n">
        <f aca="false">$N$17+$N$18</f>
        <v>0.1175</v>
      </c>
      <c r="O23" s="4" t="n">
        <f aca="false">$O$17+$O$18</f>
        <v>0.1575</v>
      </c>
      <c r="P23" s="4" t="n">
        <f aca="false">$P$17+$P$18</f>
        <v>0.2025</v>
      </c>
      <c r="Q23" s="4" t="n">
        <f aca="false">$Q$17+$Q$18</f>
        <v>0.2125</v>
      </c>
      <c r="R23" s="4" t="n">
        <f aca="false">$R$17+$R$18</f>
        <v>0.2325</v>
      </c>
      <c r="S23" s="4" t="n">
        <f aca="false">$S$17+$S$18</f>
        <v>0.2325</v>
      </c>
      <c r="T23" s="4" t="n">
        <f aca="false">$T$17+$T$18</f>
        <v>0.2025</v>
      </c>
    </row>
    <row r="24" customFormat="false" ht="12.75" hidden="false" customHeight="false" outlineLevel="0" collapsed="false"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customFormat="false" ht="12.75" hidden="false" customHeight="false" outlineLevel="0" collapsed="false">
      <c r="C25" s="0" t="s">
        <v>19</v>
      </c>
      <c r="F25" s="6" t="n">
        <v>0</v>
      </c>
      <c r="G25" s="6" t="n">
        <v>0</v>
      </c>
      <c r="H25" s="6" t="n">
        <v>0</v>
      </c>
      <c r="I25" s="6" t="n">
        <v>0</v>
      </c>
      <c r="J25" s="6" t="n">
        <v>0</v>
      </c>
      <c r="K25" s="6" t="n">
        <v>0</v>
      </c>
      <c r="L25" s="6" t="n">
        <v>0</v>
      </c>
      <c r="M25" s="6" t="n">
        <v>0</v>
      </c>
      <c r="N25" s="6" t="n">
        <v>0</v>
      </c>
      <c r="O25" s="6" t="n">
        <v>0</v>
      </c>
      <c r="P25" s="6" t="n">
        <v>0</v>
      </c>
      <c r="Q25" s="6" t="n">
        <v>0</v>
      </c>
      <c r="R25" s="6" t="n">
        <v>0</v>
      </c>
      <c r="S25" s="6" t="n">
        <v>0</v>
      </c>
      <c r="T25" s="6" t="n">
        <v>0</v>
      </c>
      <c r="U25" s="7"/>
      <c r="V25" s="7"/>
      <c r="W25" s="7"/>
    </row>
    <row r="26" customFormat="false" ht="12.75" hidden="false" customHeight="false" outlineLevel="0" collapsed="false">
      <c r="C26" s="0" t="s">
        <v>20</v>
      </c>
      <c r="F26" s="6" t="n">
        <v>0</v>
      </c>
      <c r="G26" s="6" t="n">
        <v>0</v>
      </c>
      <c r="H26" s="6" t="n">
        <v>0</v>
      </c>
      <c r="I26" s="6" t="n">
        <v>0</v>
      </c>
      <c r="J26" s="6" t="n">
        <v>0</v>
      </c>
      <c r="K26" s="6" t="n">
        <v>0</v>
      </c>
      <c r="L26" s="6" t="n">
        <v>0</v>
      </c>
      <c r="M26" s="6" t="n">
        <v>0</v>
      </c>
      <c r="N26" s="6" t="n">
        <v>0</v>
      </c>
      <c r="O26" s="6" t="n">
        <v>0</v>
      </c>
      <c r="P26" s="6" t="n">
        <v>0</v>
      </c>
      <c r="Q26" s="6" t="n">
        <v>0</v>
      </c>
      <c r="R26" s="6" t="n">
        <v>0</v>
      </c>
      <c r="S26" s="6" t="n">
        <v>0</v>
      </c>
      <c r="T26" s="6" t="n">
        <v>0</v>
      </c>
    </row>
    <row r="27" customFormat="false" ht="12.75" hidden="false" customHeight="false" outlineLevel="0" collapsed="false">
      <c r="C27" s="0" t="s">
        <v>21</v>
      </c>
      <c r="F27" s="6" t="n">
        <v>0</v>
      </c>
      <c r="G27" s="6" t="n">
        <v>0</v>
      </c>
      <c r="H27" s="6" t="n">
        <v>0</v>
      </c>
      <c r="I27" s="6" t="n">
        <v>0</v>
      </c>
      <c r="J27" s="6" t="n">
        <v>0</v>
      </c>
      <c r="K27" s="6" t="n">
        <v>0</v>
      </c>
      <c r="L27" s="6" t="n">
        <v>0</v>
      </c>
      <c r="M27" s="6" t="n">
        <v>0</v>
      </c>
      <c r="N27" s="6" t="n">
        <v>0</v>
      </c>
      <c r="O27" s="6" t="n">
        <v>0</v>
      </c>
      <c r="P27" s="6" t="n">
        <v>0</v>
      </c>
      <c r="Q27" s="6" t="n">
        <v>0</v>
      </c>
      <c r="R27" s="6" t="n">
        <v>0</v>
      </c>
      <c r="S27" s="6" t="n">
        <v>0</v>
      </c>
      <c r="T27" s="6" t="n">
        <v>0</v>
      </c>
    </row>
    <row r="28" customFormat="false" ht="12.75" hidden="false" customHeight="false" outlineLevel="0" collapsed="false">
      <c r="C28" s="0" t="s">
        <v>20</v>
      </c>
      <c r="F28" s="6" t="n">
        <v>0</v>
      </c>
      <c r="G28" s="6" t="n">
        <v>0</v>
      </c>
      <c r="H28" s="6" t="n">
        <v>0</v>
      </c>
      <c r="I28" s="6" t="n">
        <v>0</v>
      </c>
      <c r="J28" s="6" t="n">
        <v>0</v>
      </c>
      <c r="K28" s="6" t="n">
        <v>0</v>
      </c>
      <c r="L28" s="6" t="n">
        <v>0</v>
      </c>
      <c r="M28" s="6" t="n">
        <v>0</v>
      </c>
      <c r="N28" s="6" t="n">
        <v>0</v>
      </c>
      <c r="O28" s="6" t="n">
        <v>0</v>
      </c>
      <c r="P28" s="6" t="n">
        <v>0</v>
      </c>
      <c r="Q28" s="6" t="n">
        <v>0</v>
      </c>
      <c r="R28" s="6" t="n">
        <v>0</v>
      </c>
      <c r="S28" s="6" t="n">
        <v>0</v>
      </c>
      <c r="T28" s="6" t="n">
        <v>0</v>
      </c>
    </row>
    <row r="29" customFormat="false" ht="12.75" hidden="false" customHeight="false" outlineLevel="0" collapsed="false">
      <c r="C29" s="0" t="s">
        <v>22</v>
      </c>
      <c r="F29" s="4" t="s">
        <v>23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customFormat="false" ht="12.75" hidden="false" customHeight="false" outlineLevel="0" collapsed="false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customFormat="false" ht="12.75" hidden="false" customHeight="false" outlineLevel="0" collapsed="false">
      <c r="B31" s="1" t="s">
        <v>15</v>
      </c>
      <c r="C31" s="1" t="s">
        <v>24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customFormat="false" ht="12.75" hidden="false" customHeight="false" outlineLevel="0" collapsed="false">
      <c r="D32" s="0" t="s">
        <v>17</v>
      </c>
      <c r="F32" s="4" t="n">
        <f aca="false">$F$17+$F$18</f>
        <v>0.2275</v>
      </c>
      <c r="G32" s="4" t="n">
        <f aca="false">$G$17+$G$18</f>
        <v>0.2275</v>
      </c>
      <c r="H32" s="4" t="n">
        <f aca="false">$H$17+$H$18</f>
        <v>0.1975</v>
      </c>
      <c r="I32" s="4" t="n">
        <f aca="false">$I$17+$I$18</f>
        <v>0.1575</v>
      </c>
      <c r="J32" s="4" t="n">
        <f aca="false">$J$17+$J$18</f>
        <v>0.1175</v>
      </c>
      <c r="K32" s="4" t="n">
        <f aca="false">$K$17+$K$18</f>
        <v>0.1175</v>
      </c>
      <c r="L32" s="4" t="n">
        <f aca="false">$L$17+$L$18</f>
        <v>0.1175</v>
      </c>
      <c r="M32" s="4" t="n">
        <f aca="false">$M$17+$M$18</f>
        <v>0.1175</v>
      </c>
      <c r="N32" s="4" t="n">
        <f aca="false">$N$17+$N$18</f>
        <v>0.1175</v>
      </c>
      <c r="O32" s="4" t="n">
        <f aca="false">$O$17+$O$18</f>
        <v>0.1575</v>
      </c>
      <c r="P32" s="4" t="n">
        <f aca="false">$P$17+$P$18</f>
        <v>0.2025</v>
      </c>
      <c r="Q32" s="4" t="n">
        <f aca="false">$Q$17+$Q$18</f>
        <v>0.2125</v>
      </c>
      <c r="R32" s="4" t="n">
        <f aca="false">$R$17+$R$18</f>
        <v>0.2325</v>
      </c>
      <c r="S32" s="4" t="n">
        <f aca="false">$S$17+$S$18</f>
        <v>0.2325</v>
      </c>
      <c r="T32" s="4" t="n">
        <f aca="false">$T$17+$T$18</f>
        <v>0.2025</v>
      </c>
    </row>
    <row r="33" customFormat="false" ht="12.75" hidden="false" customHeight="false" outlineLevel="0" collapsed="false">
      <c r="D33" s="0" t="s">
        <v>18</v>
      </c>
      <c r="F33" s="4" t="n">
        <f aca="false">$F$17+$F$18</f>
        <v>0.2275</v>
      </c>
      <c r="G33" s="4" t="n">
        <f aca="false">$G$17+$G$18</f>
        <v>0.2275</v>
      </c>
      <c r="H33" s="4" t="n">
        <f aca="false">$H$17+$H$18</f>
        <v>0.1975</v>
      </c>
      <c r="I33" s="4" t="n">
        <f aca="false">$I$17+$I$18</f>
        <v>0.1575</v>
      </c>
      <c r="J33" s="4" t="n">
        <f aca="false">$J$17+$J$18</f>
        <v>0.1175</v>
      </c>
      <c r="K33" s="4" t="n">
        <f aca="false">$K$17+$K$18</f>
        <v>0.1175</v>
      </c>
      <c r="L33" s="4" t="n">
        <f aca="false">$L$17+$L$18</f>
        <v>0.1175</v>
      </c>
      <c r="M33" s="4" t="n">
        <f aca="false">$M$17+$M$18</f>
        <v>0.1175</v>
      </c>
      <c r="N33" s="4" t="n">
        <f aca="false">$N$17+$N$18</f>
        <v>0.1175</v>
      </c>
      <c r="O33" s="4" t="n">
        <f aca="false">$O$17+$O$18</f>
        <v>0.1575</v>
      </c>
      <c r="P33" s="4" t="n">
        <f aca="false">$P$17+$P$18</f>
        <v>0.2025</v>
      </c>
      <c r="Q33" s="4" t="n">
        <f aca="false">$Q$17+$Q$18</f>
        <v>0.2125</v>
      </c>
      <c r="R33" s="4" t="n">
        <f aca="false">$R$17+$R$18</f>
        <v>0.2325</v>
      </c>
      <c r="S33" s="4" t="n">
        <f aca="false">$S$17+$S$18</f>
        <v>0.2325</v>
      </c>
      <c r="T33" s="4" t="n">
        <f aca="false">$T$17+$T$18</f>
        <v>0.2025</v>
      </c>
    </row>
    <row r="34" customFormat="false" ht="12.75" hidden="false" customHeight="false" outlineLevel="0" collapsed="false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customFormat="false" ht="12.75" hidden="true" customHeight="false" outlineLevel="0" collapsed="false">
      <c r="C35" s="0" t="s">
        <v>19</v>
      </c>
      <c r="F35" s="7" t="n">
        <v>4633</v>
      </c>
      <c r="G35" s="7" t="n">
        <v>4267</v>
      </c>
      <c r="H35" s="7" t="n">
        <v>4513</v>
      </c>
      <c r="I35" s="7" t="n">
        <v>12658</v>
      </c>
      <c r="J35" s="7" t="n">
        <v>6882</v>
      </c>
      <c r="K35" s="7" t="n">
        <v>5634</v>
      </c>
      <c r="L35" s="7" t="n">
        <v>6291</v>
      </c>
      <c r="M35" s="7" t="n">
        <v>6389</v>
      </c>
      <c r="N35" s="7" t="n">
        <v>8567</v>
      </c>
      <c r="O35" s="7" t="n">
        <v>3300</v>
      </c>
      <c r="P35" s="7" t="n">
        <v>3000</v>
      </c>
      <c r="Q35" s="7" t="n">
        <v>3400</v>
      </c>
      <c r="R35" s="7" t="n">
        <v>3400</v>
      </c>
      <c r="S35" s="7" t="n">
        <v>3200</v>
      </c>
      <c r="T35" s="7" t="n">
        <v>3400</v>
      </c>
    </row>
    <row r="36" customFormat="false" ht="12.75" hidden="false" customHeight="false" outlineLevel="0" collapsed="false">
      <c r="A36" s="8"/>
      <c r="B36" s="8"/>
      <c r="C36" s="0" t="s">
        <v>19</v>
      </c>
      <c r="D36" s="8"/>
      <c r="E36" s="8"/>
      <c r="F36" s="9" t="n">
        <f aca="false">F35/31</f>
        <v>149.451612903226</v>
      </c>
      <c r="G36" s="9" t="n">
        <f aca="false">G35/29</f>
        <v>147.137931034483</v>
      </c>
      <c r="H36" s="9" t="n">
        <f aca="false">H35/31</f>
        <v>145.58064516129</v>
      </c>
      <c r="I36" s="9" t="n">
        <f aca="false">I35/30</f>
        <v>421.933333333333</v>
      </c>
      <c r="J36" s="9" t="n">
        <f aca="false">J35/31</f>
        <v>222</v>
      </c>
      <c r="K36" s="9" t="n">
        <f aca="false">K35/30</f>
        <v>187.8</v>
      </c>
      <c r="L36" s="9" t="n">
        <f aca="false">L35/31</f>
        <v>202.935483870968</v>
      </c>
      <c r="M36" s="9" t="n">
        <f aca="false">M35/31</f>
        <v>206.096774193548</v>
      </c>
      <c r="N36" s="9" t="n">
        <f aca="false">N35/30</f>
        <v>285.566666666667</v>
      </c>
      <c r="O36" s="9" t="n">
        <f aca="false">O35/31</f>
        <v>106.451612903226</v>
      </c>
      <c r="P36" s="9" t="n">
        <f aca="false">P35/30</f>
        <v>100</v>
      </c>
      <c r="Q36" s="9" t="n">
        <f aca="false">Q35/31</f>
        <v>109.677419354839</v>
      </c>
      <c r="R36" s="9" t="n">
        <f aca="false">R35/31</f>
        <v>109.677419354839</v>
      </c>
      <c r="S36" s="9" t="n">
        <f aca="false">S35/28</f>
        <v>114.285714285714</v>
      </c>
      <c r="T36" s="9" t="n">
        <f aca="false">T35/31</f>
        <v>109.677419354839</v>
      </c>
    </row>
    <row r="37" customFormat="false" ht="12.75" hidden="false" customHeight="false" outlineLevel="0" collapsed="false">
      <c r="A37" s="8"/>
      <c r="B37" s="8"/>
      <c r="C37" s="8" t="s">
        <v>20</v>
      </c>
      <c r="D37" s="8"/>
      <c r="E37" s="8"/>
      <c r="F37" s="8" t="n">
        <v>0</v>
      </c>
      <c r="G37" s="8" t="n">
        <v>0</v>
      </c>
      <c r="H37" s="8" t="n">
        <v>0</v>
      </c>
      <c r="I37" s="8" t="n">
        <v>0</v>
      </c>
      <c r="J37" s="8" t="n">
        <v>0</v>
      </c>
      <c r="K37" s="8" t="n">
        <v>0</v>
      </c>
      <c r="L37" s="8" t="n">
        <v>0</v>
      </c>
      <c r="M37" s="8" t="n">
        <v>0</v>
      </c>
      <c r="N37" s="8" t="n">
        <v>0</v>
      </c>
      <c r="O37" s="8" t="n">
        <v>0</v>
      </c>
      <c r="P37" s="8" t="n">
        <v>0</v>
      </c>
      <c r="Q37" s="8" t="n">
        <v>0</v>
      </c>
      <c r="R37" s="8" t="n">
        <v>0</v>
      </c>
      <c r="S37" s="8" t="n">
        <v>0</v>
      </c>
      <c r="T37" s="8" t="n">
        <v>0</v>
      </c>
    </row>
    <row r="38" customFormat="false" ht="12.75" hidden="false" customHeight="false" outlineLevel="0" collapsed="false">
      <c r="A38" s="8"/>
      <c r="B38" s="8"/>
      <c r="C38" s="8" t="s">
        <v>21</v>
      </c>
      <c r="D38" s="8"/>
      <c r="E38" s="8"/>
      <c r="F38" s="8" t="n">
        <v>0</v>
      </c>
      <c r="G38" s="8" t="n">
        <v>0</v>
      </c>
      <c r="H38" s="8" t="n">
        <v>0</v>
      </c>
      <c r="I38" s="8" t="n">
        <v>0</v>
      </c>
      <c r="J38" s="8" t="n">
        <v>0</v>
      </c>
      <c r="K38" s="8" t="n">
        <v>0</v>
      </c>
      <c r="L38" s="8" t="n">
        <v>0</v>
      </c>
      <c r="M38" s="8" t="n">
        <v>0</v>
      </c>
      <c r="N38" s="8" t="n">
        <v>0</v>
      </c>
      <c r="O38" s="8" t="n">
        <v>0</v>
      </c>
      <c r="P38" s="8" t="n">
        <v>0</v>
      </c>
      <c r="Q38" s="8" t="n">
        <v>0</v>
      </c>
      <c r="R38" s="8" t="n">
        <v>0</v>
      </c>
      <c r="S38" s="8" t="n">
        <v>0</v>
      </c>
      <c r="T38" s="8" t="n">
        <v>0</v>
      </c>
    </row>
    <row r="39" customFormat="false" ht="12.75" hidden="false" customHeight="false" outlineLevel="0" collapsed="false">
      <c r="A39" s="8"/>
      <c r="B39" s="8"/>
      <c r="C39" s="8" t="s">
        <v>20</v>
      </c>
      <c r="D39" s="8"/>
      <c r="E39" s="8"/>
      <c r="F39" s="8" t="n">
        <v>0</v>
      </c>
      <c r="G39" s="8" t="n">
        <v>0</v>
      </c>
      <c r="H39" s="8" t="n">
        <v>0</v>
      </c>
      <c r="I39" s="8" t="n">
        <v>0</v>
      </c>
      <c r="J39" s="8" t="n">
        <v>0</v>
      </c>
      <c r="K39" s="8" t="n">
        <v>0</v>
      </c>
      <c r="L39" s="8" t="n">
        <v>0</v>
      </c>
      <c r="M39" s="8" t="n">
        <v>0</v>
      </c>
      <c r="N39" s="8" t="n">
        <v>0</v>
      </c>
      <c r="O39" s="8" t="n">
        <v>0</v>
      </c>
      <c r="P39" s="8" t="n">
        <v>0</v>
      </c>
      <c r="Q39" s="8" t="n">
        <v>0</v>
      </c>
      <c r="R39" s="8" t="n">
        <v>0</v>
      </c>
      <c r="S39" s="8" t="n">
        <v>0</v>
      </c>
      <c r="T39" s="8" t="n">
        <v>0</v>
      </c>
    </row>
    <row r="40" customFormat="false" ht="12.75" hidden="false" customHeight="false" outlineLevel="0" collapsed="false">
      <c r="C40" s="0" t="s">
        <v>22</v>
      </c>
      <c r="F40" s="4" t="s">
        <v>25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customFormat="false" ht="12.75" hidden="false" customHeight="false" outlineLevel="0" collapsed="false"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customFormat="false" ht="12.75" hidden="false" customHeight="false" outlineLevel="0" collapsed="false">
      <c r="B42" s="1" t="s">
        <v>26</v>
      </c>
      <c r="C42" s="1" t="s">
        <v>27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customFormat="false" ht="12.75" hidden="false" customHeight="false" outlineLevel="0" collapsed="false">
      <c r="D43" s="0" t="s">
        <v>17</v>
      </c>
      <c r="F43" s="4" t="n">
        <f aca="false">$F$17+$F$18</f>
        <v>0.2275</v>
      </c>
      <c r="G43" s="4" t="n">
        <f aca="false">$G$17+$G$18</f>
        <v>0.2275</v>
      </c>
      <c r="H43" s="4" t="n">
        <f aca="false">$H$17+$H$18</f>
        <v>0.1975</v>
      </c>
      <c r="I43" s="4" t="n">
        <f aca="false">$I$17+$I$18</f>
        <v>0.1575</v>
      </c>
      <c r="J43" s="4" t="n">
        <f aca="false">$J$17+$J$18</f>
        <v>0.1175</v>
      </c>
      <c r="K43" s="4" t="n">
        <f aca="false">$K$17+$K$18</f>
        <v>0.1175</v>
      </c>
      <c r="L43" s="4" t="n">
        <f aca="false">$L$17+$L$18</f>
        <v>0.1175</v>
      </c>
      <c r="M43" s="4" t="n">
        <f aca="false">$M$17+$M$18</f>
        <v>0.1175</v>
      </c>
      <c r="N43" s="4" t="n">
        <f aca="false">$N$17+$N$18</f>
        <v>0.1175</v>
      </c>
      <c r="O43" s="4" t="n">
        <f aca="false">$O$17+$O$18</f>
        <v>0.1575</v>
      </c>
      <c r="P43" s="4" t="n">
        <f aca="false">$P$17+$P$18</f>
        <v>0.2025</v>
      </c>
      <c r="Q43" s="4" t="n">
        <f aca="false">$Q$17+$Q$18</f>
        <v>0.2125</v>
      </c>
      <c r="R43" s="4" t="n">
        <f aca="false">$R$17+$R$18</f>
        <v>0.2325</v>
      </c>
      <c r="S43" s="4" t="n">
        <f aca="false">$S$17+$S$18</f>
        <v>0.2325</v>
      </c>
      <c r="T43" s="4" t="n">
        <f aca="false">$T$17+$T$18</f>
        <v>0.2025</v>
      </c>
    </row>
    <row r="44" customFormat="false" ht="12.75" hidden="false" customHeight="false" outlineLevel="0" collapsed="false">
      <c r="D44" s="0" t="s">
        <v>18</v>
      </c>
      <c r="F44" s="4" t="n">
        <f aca="false">$F$17+$F$18</f>
        <v>0.2275</v>
      </c>
      <c r="G44" s="4" t="n">
        <f aca="false">$G$17+$G$18</f>
        <v>0.2275</v>
      </c>
      <c r="H44" s="4" t="n">
        <f aca="false">$H$17+$H$18</f>
        <v>0.1975</v>
      </c>
      <c r="I44" s="4" t="n">
        <f aca="false">$I$17+$I$18</f>
        <v>0.1575</v>
      </c>
      <c r="J44" s="4" t="n">
        <f aca="false">$J$17+$J$18</f>
        <v>0.1175</v>
      </c>
      <c r="K44" s="4" t="n">
        <f aca="false">$K$17+$K$18</f>
        <v>0.1175</v>
      </c>
      <c r="L44" s="4" t="n">
        <f aca="false">$L$17+$L$18</f>
        <v>0.1175</v>
      </c>
      <c r="M44" s="4" t="n">
        <f aca="false">$M$17+$M$18</f>
        <v>0.1175</v>
      </c>
      <c r="N44" s="4" t="n">
        <f aca="false">$N$17+$N$18</f>
        <v>0.1175</v>
      </c>
      <c r="O44" s="4" t="n">
        <f aca="false">$O$17+$O$18</f>
        <v>0.1575</v>
      </c>
      <c r="P44" s="4" t="n">
        <f aca="false">$P$17+$P$18</f>
        <v>0.2025</v>
      </c>
      <c r="Q44" s="4" t="n">
        <f aca="false">$Q$17+$Q$18</f>
        <v>0.2125</v>
      </c>
      <c r="R44" s="4" t="n">
        <f aca="false">$R$17+$R$18</f>
        <v>0.2325</v>
      </c>
      <c r="S44" s="4" t="n">
        <f aca="false">$S$17+$S$18</f>
        <v>0.2325</v>
      </c>
      <c r="T44" s="4" t="n">
        <f aca="false">$T$17+$T$18</f>
        <v>0.2025</v>
      </c>
    </row>
    <row r="45" customFormat="false" ht="12.75" hidden="false" customHeight="false" outlineLevel="0" collapsed="false"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customFormat="false" ht="12.75" hidden="false" customHeight="false" outlineLevel="0" collapsed="false">
      <c r="C46" s="0" t="s">
        <v>19</v>
      </c>
      <c r="F46" s="6" t="n">
        <v>0</v>
      </c>
      <c r="G46" s="6" t="n">
        <v>0</v>
      </c>
      <c r="H46" s="6" t="n">
        <v>0</v>
      </c>
      <c r="I46" s="6" t="n">
        <v>0</v>
      </c>
      <c r="J46" s="6" t="n">
        <v>0</v>
      </c>
      <c r="K46" s="6" t="n">
        <v>0</v>
      </c>
      <c r="L46" s="6" t="n">
        <v>0</v>
      </c>
      <c r="M46" s="6" t="n">
        <v>0</v>
      </c>
      <c r="N46" s="6" t="n">
        <v>0</v>
      </c>
      <c r="O46" s="6" t="n">
        <v>0</v>
      </c>
      <c r="P46" s="6" t="n">
        <v>0</v>
      </c>
      <c r="Q46" s="6" t="n">
        <v>0</v>
      </c>
      <c r="R46" s="6" t="n">
        <v>0</v>
      </c>
      <c r="S46" s="6" t="n">
        <v>0</v>
      </c>
      <c r="T46" s="6" t="n">
        <v>0</v>
      </c>
    </row>
    <row r="47" customFormat="false" ht="12.75" hidden="false" customHeight="false" outlineLevel="0" collapsed="false">
      <c r="C47" s="0" t="s">
        <v>20</v>
      </c>
      <c r="F47" s="6" t="n">
        <v>37</v>
      </c>
      <c r="G47" s="6" t="n">
        <v>37</v>
      </c>
      <c r="H47" s="6" t="n">
        <v>37</v>
      </c>
      <c r="I47" s="6" t="n">
        <v>34</v>
      </c>
      <c r="J47" s="6" t="n">
        <v>34</v>
      </c>
      <c r="K47" s="6" t="n">
        <v>0</v>
      </c>
      <c r="L47" s="6" t="n">
        <v>0</v>
      </c>
      <c r="M47" s="6" t="n">
        <v>0</v>
      </c>
      <c r="N47" s="6" t="n">
        <v>0</v>
      </c>
      <c r="O47" s="6" t="n">
        <v>0</v>
      </c>
      <c r="P47" s="6" t="n">
        <v>0</v>
      </c>
      <c r="Q47" s="6" t="n">
        <v>0</v>
      </c>
      <c r="R47" s="6" t="n">
        <v>0</v>
      </c>
      <c r="S47" s="6" t="n">
        <v>0</v>
      </c>
      <c r="T47" s="6" t="n">
        <v>0</v>
      </c>
    </row>
    <row r="48" customFormat="false" ht="12.75" hidden="false" customHeight="false" outlineLevel="0" collapsed="false">
      <c r="C48" s="0" t="s">
        <v>21</v>
      </c>
      <c r="F48" s="6" t="n">
        <v>0</v>
      </c>
      <c r="G48" s="6" t="n">
        <v>0</v>
      </c>
      <c r="H48" s="6" t="n">
        <v>0</v>
      </c>
      <c r="I48" s="6" t="n">
        <v>0</v>
      </c>
      <c r="J48" s="6" t="n">
        <v>0</v>
      </c>
      <c r="K48" s="6" t="n">
        <v>0</v>
      </c>
      <c r="L48" s="6" t="n">
        <v>0</v>
      </c>
      <c r="M48" s="6" t="n">
        <v>0</v>
      </c>
      <c r="N48" s="6" t="n">
        <v>0</v>
      </c>
      <c r="O48" s="6" t="n">
        <v>0</v>
      </c>
      <c r="P48" s="6" t="n">
        <v>0</v>
      </c>
      <c r="Q48" s="6" t="n">
        <v>0</v>
      </c>
      <c r="R48" s="6" t="n">
        <v>0</v>
      </c>
      <c r="S48" s="6" t="n">
        <v>0</v>
      </c>
      <c r="T48" s="6" t="n">
        <v>0</v>
      </c>
    </row>
    <row r="49" customFormat="false" ht="12.75" hidden="false" customHeight="false" outlineLevel="0" collapsed="false">
      <c r="C49" s="0" t="s">
        <v>20</v>
      </c>
      <c r="F49" s="6" t="n">
        <v>0</v>
      </c>
      <c r="G49" s="6" t="n">
        <v>0</v>
      </c>
      <c r="H49" s="6" t="n">
        <v>0</v>
      </c>
      <c r="I49" s="6" t="n">
        <v>0</v>
      </c>
      <c r="J49" s="6" t="n">
        <v>0</v>
      </c>
      <c r="K49" s="6" t="n">
        <v>0</v>
      </c>
      <c r="L49" s="6" t="n">
        <v>0</v>
      </c>
      <c r="M49" s="6" t="n">
        <v>0</v>
      </c>
      <c r="N49" s="6" t="n">
        <v>0</v>
      </c>
      <c r="O49" s="6" t="n">
        <v>0</v>
      </c>
      <c r="P49" s="6" t="n">
        <v>0</v>
      </c>
      <c r="Q49" s="6" t="n">
        <v>0</v>
      </c>
      <c r="R49" s="6" t="n">
        <v>0</v>
      </c>
      <c r="S49" s="6" t="n">
        <v>0</v>
      </c>
      <c r="T49" s="6" t="n">
        <v>0</v>
      </c>
    </row>
    <row r="50" customFormat="false" ht="12.75" hidden="false" customHeight="false" outlineLevel="0" collapsed="false">
      <c r="C50" s="0" t="s">
        <v>22</v>
      </c>
      <c r="F50" s="4" t="s">
        <v>28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customFormat="false" ht="12.75" hidden="false" customHeight="false" outlineLevel="0" collapsed="false"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customFormat="false" ht="12.75" hidden="false" customHeight="false" outlineLevel="0" collapsed="false">
      <c r="B52" s="1" t="s">
        <v>29</v>
      </c>
      <c r="C52" s="1" t="s">
        <v>30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customFormat="false" ht="12.75" hidden="false" customHeight="false" outlineLevel="0" collapsed="false">
      <c r="D53" s="0" t="s">
        <v>17</v>
      </c>
      <c r="F53" s="4" t="n">
        <f aca="false">$F$17+$F$18</f>
        <v>0.2275</v>
      </c>
      <c r="G53" s="4" t="n">
        <f aca="false">$G$17+$G$18</f>
        <v>0.2275</v>
      </c>
      <c r="H53" s="4" t="n">
        <f aca="false">$H$17+$H$18</f>
        <v>0.1975</v>
      </c>
      <c r="I53" s="4" t="n">
        <f aca="false">$I$17+$I$18</f>
        <v>0.1575</v>
      </c>
      <c r="J53" s="4" t="n">
        <f aca="false">$J$17+$J$18</f>
        <v>0.1175</v>
      </c>
      <c r="K53" s="4" t="n">
        <f aca="false">$K$17+$K$18</f>
        <v>0.1175</v>
      </c>
      <c r="L53" s="4" t="n">
        <f aca="false">$L$17+$L$18</f>
        <v>0.1175</v>
      </c>
      <c r="M53" s="4" t="n">
        <f aca="false">$M$17+$M$18</f>
        <v>0.1175</v>
      </c>
      <c r="N53" s="4" t="n">
        <f aca="false">$N$17+$N$18</f>
        <v>0.1175</v>
      </c>
      <c r="O53" s="4" t="n">
        <f aca="false">$O$17+$O$18</f>
        <v>0.1575</v>
      </c>
      <c r="P53" s="4" t="n">
        <f aca="false">$P$17+$P$18</f>
        <v>0.2025</v>
      </c>
      <c r="Q53" s="4" t="n">
        <f aca="false">$Q$17+$Q$18</f>
        <v>0.2125</v>
      </c>
      <c r="R53" s="4" t="n">
        <f aca="false">$R$17+$R$18</f>
        <v>0.2325</v>
      </c>
      <c r="S53" s="4" t="n">
        <f aca="false">$S$17+$S$18</f>
        <v>0.2325</v>
      </c>
      <c r="T53" s="4" t="n">
        <f aca="false">$T$17+$T$18</f>
        <v>0.2025</v>
      </c>
    </row>
    <row r="54" customFormat="false" ht="12.75" hidden="false" customHeight="false" outlineLevel="0" collapsed="false">
      <c r="D54" s="0" t="s">
        <v>18</v>
      </c>
      <c r="F54" s="4" t="n">
        <f aca="false">$F$17+$F$18</f>
        <v>0.2275</v>
      </c>
      <c r="G54" s="4" t="n">
        <f aca="false">$G$17+$G$18</f>
        <v>0.2275</v>
      </c>
      <c r="H54" s="4" t="n">
        <f aca="false">$H$17+$H$18</f>
        <v>0.1975</v>
      </c>
      <c r="I54" s="4" t="n">
        <f aca="false">$I$17+$I$18</f>
        <v>0.1575</v>
      </c>
      <c r="J54" s="4" t="n">
        <f aca="false">$J$17+$J$18</f>
        <v>0.1175</v>
      </c>
      <c r="K54" s="4" t="n">
        <f aca="false">$K$17+$K$18</f>
        <v>0.1175</v>
      </c>
      <c r="L54" s="4" t="n">
        <f aca="false">$L$17+$L$18</f>
        <v>0.1175</v>
      </c>
      <c r="M54" s="4" t="n">
        <f aca="false">$M$17+$M$18</f>
        <v>0.1175</v>
      </c>
      <c r="N54" s="4" t="n">
        <f aca="false">$N$17+$N$18</f>
        <v>0.1175</v>
      </c>
      <c r="O54" s="4" t="n">
        <f aca="false">$O$17+$O$18</f>
        <v>0.1575</v>
      </c>
      <c r="P54" s="4" t="n">
        <f aca="false">$P$17+$P$18</f>
        <v>0.2025</v>
      </c>
      <c r="Q54" s="4" t="n">
        <f aca="false">$Q$17+$Q$18</f>
        <v>0.2125</v>
      </c>
      <c r="R54" s="4" t="n">
        <f aca="false">$R$17+$R$18</f>
        <v>0.2325</v>
      </c>
      <c r="S54" s="4" t="n">
        <f aca="false">$S$17+$S$18</f>
        <v>0.2325</v>
      </c>
      <c r="T54" s="4" t="n">
        <f aca="false">$T$17+$T$18</f>
        <v>0.2025</v>
      </c>
    </row>
    <row r="55" customFormat="false" ht="12.75" hidden="false" customHeight="false" outlineLevel="0" collapsed="false"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customFormat="false" ht="12.75" hidden="true" customHeight="false" outlineLevel="0" collapsed="false">
      <c r="C56" s="0" t="s">
        <v>19</v>
      </c>
      <c r="F56" s="10" t="n">
        <v>38053</v>
      </c>
      <c r="G56" s="10" t="n">
        <v>30000</v>
      </c>
      <c r="H56" s="10" t="n">
        <v>0</v>
      </c>
      <c r="I56" s="10" t="n">
        <v>808</v>
      </c>
      <c r="J56" s="10" t="n">
        <v>191</v>
      </c>
      <c r="K56" s="10" t="n">
        <v>230</v>
      </c>
      <c r="L56" s="10" t="n">
        <v>3</v>
      </c>
      <c r="M56" s="10" t="n">
        <v>3</v>
      </c>
      <c r="N56" s="10" t="n">
        <v>160</v>
      </c>
      <c r="O56" s="10" t="n">
        <v>179</v>
      </c>
      <c r="P56" s="10" t="n">
        <v>920</v>
      </c>
      <c r="Q56" s="10" t="n">
        <v>1577</v>
      </c>
      <c r="R56" s="10" t="n">
        <v>2623</v>
      </c>
      <c r="S56" s="10" t="n">
        <v>2065</v>
      </c>
      <c r="T56" s="10" t="n">
        <v>2596</v>
      </c>
      <c r="U56" s="6"/>
      <c r="V56" s="6"/>
      <c r="W56" s="6"/>
      <c r="X56" s="6"/>
    </row>
    <row r="57" customFormat="false" ht="12.75" hidden="false" customHeight="false" outlineLevel="0" collapsed="false">
      <c r="A57" s="8"/>
      <c r="B57" s="8"/>
      <c r="C57" s="0" t="s">
        <v>19</v>
      </c>
      <c r="D57" s="8"/>
      <c r="E57" s="8"/>
      <c r="F57" s="10" t="n">
        <f aca="false">F56/31</f>
        <v>1227.51612903226</v>
      </c>
      <c r="G57" s="10" t="n">
        <f aca="false">G56/29</f>
        <v>1034.48275862069</v>
      </c>
      <c r="H57" s="10" t="n">
        <f aca="false">H56/31</f>
        <v>0</v>
      </c>
      <c r="I57" s="10" t="n">
        <f aca="false">I56/30</f>
        <v>26.9333333333333</v>
      </c>
      <c r="J57" s="10" t="n">
        <f aca="false">J56/31</f>
        <v>6.16129032258065</v>
      </c>
      <c r="K57" s="10" t="n">
        <f aca="false">K56/30</f>
        <v>7.66666666666667</v>
      </c>
      <c r="L57" s="10" t="n">
        <f aca="false">L56/31</f>
        <v>0.0967741935483871</v>
      </c>
      <c r="M57" s="10" t="n">
        <f aca="false">M56/31</f>
        <v>0.0967741935483871</v>
      </c>
      <c r="N57" s="10" t="n">
        <f aca="false">N56/30</f>
        <v>5.33333333333333</v>
      </c>
      <c r="O57" s="10" t="n">
        <f aca="false">O56/31</f>
        <v>5.7741935483871</v>
      </c>
      <c r="P57" s="10" t="n">
        <f aca="false">P56/30</f>
        <v>30.6666666666667</v>
      </c>
      <c r="Q57" s="10" t="n">
        <f aca="false">Q56/31</f>
        <v>50.8709677419355</v>
      </c>
      <c r="R57" s="10" t="n">
        <f aca="false">R56/31</f>
        <v>84.6129032258065</v>
      </c>
      <c r="S57" s="10" t="n">
        <f aca="false">S56/28</f>
        <v>73.75</v>
      </c>
      <c r="T57" s="10" t="n">
        <f aca="false">T56/31</f>
        <v>83.741935483871</v>
      </c>
      <c r="U57" s="6"/>
      <c r="V57" s="6"/>
      <c r="W57" s="6"/>
      <c r="X57" s="6"/>
    </row>
    <row r="58" customFormat="false" ht="12.75" hidden="false" customHeight="false" outlineLevel="0" collapsed="false">
      <c r="A58" s="8"/>
      <c r="B58" s="8"/>
      <c r="C58" s="8" t="s">
        <v>20</v>
      </c>
      <c r="D58" s="8"/>
      <c r="E58" s="8"/>
      <c r="F58" s="6" t="n">
        <v>0</v>
      </c>
      <c r="G58" s="6" t="n">
        <v>0</v>
      </c>
      <c r="H58" s="6" t="n">
        <v>0</v>
      </c>
      <c r="I58" s="6" t="n">
        <v>0</v>
      </c>
      <c r="J58" s="6" t="n">
        <v>0</v>
      </c>
      <c r="K58" s="6" t="n">
        <v>0</v>
      </c>
      <c r="L58" s="6" t="n">
        <v>0</v>
      </c>
      <c r="M58" s="6" t="n">
        <v>0</v>
      </c>
      <c r="N58" s="6" t="n">
        <v>0</v>
      </c>
      <c r="O58" s="6" t="n">
        <v>0</v>
      </c>
      <c r="P58" s="6" t="n">
        <v>0</v>
      </c>
      <c r="Q58" s="6" t="n">
        <v>0</v>
      </c>
      <c r="R58" s="6" t="n">
        <v>0</v>
      </c>
      <c r="S58" s="6" t="n">
        <v>0</v>
      </c>
      <c r="T58" s="6" t="n">
        <v>0</v>
      </c>
      <c r="U58" s="6"/>
      <c r="V58" s="6"/>
      <c r="W58" s="6"/>
      <c r="X58" s="6"/>
    </row>
    <row r="59" customFormat="false" ht="12.75" hidden="true" customHeight="false" outlineLevel="0" collapsed="false">
      <c r="C59" s="0" t="s">
        <v>21</v>
      </c>
      <c r="F59" s="10" t="n">
        <v>39694</v>
      </c>
      <c r="G59" s="10" t="n">
        <v>34693</v>
      </c>
      <c r="H59" s="10" t="n">
        <v>27024</v>
      </c>
      <c r="I59" s="10" t="n">
        <v>16636</v>
      </c>
      <c r="J59" s="10" t="n">
        <v>8246</v>
      </c>
      <c r="K59" s="10" t="n">
        <v>4083</v>
      </c>
      <c r="L59" s="10" t="n">
        <v>3847</v>
      </c>
      <c r="M59" s="10" t="n">
        <v>3882</v>
      </c>
      <c r="N59" s="10" t="n">
        <v>4919</v>
      </c>
      <c r="O59" s="10" t="n">
        <v>8103</v>
      </c>
      <c r="P59" s="10" t="n">
        <v>8888</v>
      </c>
      <c r="Q59" s="10" t="n">
        <v>11978</v>
      </c>
      <c r="R59" s="10" t="n">
        <v>5419</v>
      </c>
      <c r="S59" s="10" t="n">
        <v>2363</v>
      </c>
      <c r="T59" s="10" t="n">
        <v>1033</v>
      </c>
      <c r="U59" s="6"/>
      <c r="V59" s="6"/>
      <c r="W59" s="6"/>
      <c r="X59" s="6"/>
    </row>
    <row r="60" customFormat="false" ht="12.75" hidden="false" customHeight="false" outlineLevel="0" collapsed="false">
      <c r="A60" s="8"/>
      <c r="B60" s="8"/>
      <c r="C60" s="0" t="s">
        <v>21</v>
      </c>
      <c r="D60" s="8"/>
      <c r="E60" s="8"/>
      <c r="F60" s="10" t="n">
        <f aca="false">F59/31</f>
        <v>1280.45161290323</v>
      </c>
      <c r="G60" s="10" t="n">
        <v>1232</v>
      </c>
      <c r="H60" s="10" t="n">
        <f aca="false">H59/31</f>
        <v>871.741935483871</v>
      </c>
      <c r="I60" s="10" t="n">
        <f aca="false">I59/30</f>
        <v>554.533333333333</v>
      </c>
      <c r="J60" s="10" t="n">
        <f aca="false">J59/31</f>
        <v>266</v>
      </c>
      <c r="K60" s="10" t="n">
        <f aca="false">K59/30</f>
        <v>136.1</v>
      </c>
      <c r="L60" s="10" t="n">
        <f aca="false">L59/31</f>
        <v>124.096774193548</v>
      </c>
      <c r="M60" s="10" t="n">
        <f aca="false">M59/31</f>
        <v>125.225806451613</v>
      </c>
      <c r="N60" s="10" t="n">
        <f aca="false">N59/30</f>
        <v>163.966666666667</v>
      </c>
      <c r="O60" s="10" t="n">
        <f aca="false">O59/31</f>
        <v>261.387096774194</v>
      </c>
      <c r="P60" s="10" t="n">
        <f aca="false">P59/30</f>
        <v>296.266666666667</v>
      </c>
      <c r="Q60" s="10" t="n">
        <f aca="false">Q59/31</f>
        <v>386.387096774194</v>
      </c>
      <c r="R60" s="10" t="n">
        <f aca="false">R59/31</f>
        <v>174.806451612903</v>
      </c>
      <c r="S60" s="10" t="n">
        <f aca="false">S59/28</f>
        <v>84.3928571428571</v>
      </c>
      <c r="T60" s="10" t="n">
        <f aca="false">T59/31</f>
        <v>33.3225806451613</v>
      </c>
      <c r="U60" s="6"/>
      <c r="V60" s="6"/>
      <c r="W60" s="6"/>
      <c r="X60" s="6"/>
    </row>
    <row r="61" customFormat="false" ht="12.75" hidden="false" customHeight="false" outlineLevel="0" collapsed="false">
      <c r="A61" s="8"/>
      <c r="B61" s="8"/>
      <c r="C61" s="8" t="s">
        <v>20</v>
      </c>
      <c r="D61" s="8"/>
      <c r="E61" s="8"/>
      <c r="F61" s="6" t="n">
        <v>2215</v>
      </c>
      <c r="G61" s="6" t="n">
        <v>2215</v>
      </c>
      <c r="H61" s="6" t="n">
        <v>2215</v>
      </c>
      <c r="I61" s="6" t="n">
        <v>0</v>
      </c>
      <c r="J61" s="6" t="n">
        <v>0</v>
      </c>
      <c r="K61" s="6" t="n">
        <v>0</v>
      </c>
      <c r="L61" s="6" t="n">
        <v>0</v>
      </c>
      <c r="M61" s="6" t="n">
        <v>0</v>
      </c>
      <c r="N61" s="6" t="n">
        <v>0</v>
      </c>
      <c r="O61" s="6" t="n">
        <v>0</v>
      </c>
      <c r="P61" s="6" t="n">
        <v>0</v>
      </c>
      <c r="Q61" s="6" t="n">
        <v>0</v>
      </c>
      <c r="R61" s="6" t="n">
        <v>0</v>
      </c>
      <c r="S61" s="6" t="n">
        <v>0</v>
      </c>
      <c r="T61" s="6" t="n">
        <v>0</v>
      </c>
      <c r="U61" s="6"/>
      <c r="V61" s="6"/>
      <c r="W61" s="6"/>
      <c r="X61" s="6"/>
    </row>
    <row r="62" customFormat="false" ht="12.75" hidden="false" customHeight="false" outlineLevel="0" collapsed="false">
      <c r="C62" s="0" t="s">
        <v>22</v>
      </c>
      <c r="F62" s="4" t="s">
        <v>31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customFormat="false" ht="12.75" hidden="false" customHeight="false" outlineLevel="0" collapsed="false"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customFormat="false" ht="12.75" hidden="false" customHeight="false" outlineLevel="0" collapsed="false">
      <c r="B64" s="1" t="s">
        <v>29</v>
      </c>
      <c r="C64" s="1" t="s">
        <v>32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customFormat="false" ht="12.75" hidden="false" customHeight="false" outlineLevel="0" collapsed="false">
      <c r="D65" s="0" t="s">
        <v>17</v>
      </c>
      <c r="F65" s="4" t="n">
        <f aca="false">$F$17+$F$18</f>
        <v>0.2275</v>
      </c>
      <c r="G65" s="4" t="n">
        <f aca="false">$G$17+$G$18</f>
        <v>0.2275</v>
      </c>
      <c r="H65" s="4" t="n">
        <f aca="false">$H$17+$H$18</f>
        <v>0.1975</v>
      </c>
      <c r="I65" s="4" t="n">
        <f aca="false">$I$17+$I$18</f>
        <v>0.1575</v>
      </c>
      <c r="J65" s="4" t="n">
        <f aca="false">$J$17+$J$18</f>
        <v>0.1175</v>
      </c>
      <c r="K65" s="4" t="n">
        <f aca="false">$K$17+$K$18</f>
        <v>0.1175</v>
      </c>
      <c r="L65" s="4" t="n">
        <f aca="false">$L$17+$L$18</f>
        <v>0.1175</v>
      </c>
      <c r="M65" s="4" t="n">
        <f aca="false">$M$17+$M$18</f>
        <v>0.1175</v>
      </c>
      <c r="N65" s="4" t="n">
        <f aca="false">$N$17+$N$18</f>
        <v>0.1175</v>
      </c>
      <c r="O65" s="4" t="n">
        <f aca="false">$O$17+$O$18</f>
        <v>0.1575</v>
      </c>
      <c r="P65" s="4" t="n">
        <f aca="false">$P$17+$P$18</f>
        <v>0.2025</v>
      </c>
      <c r="Q65" s="4" t="n">
        <f aca="false">$Q$17+$Q$18</f>
        <v>0.2125</v>
      </c>
      <c r="R65" s="4" t="n">
        <f aca="false">$R$17+$R$18</f>
        <v>0.2325</v>
      </c>
      <c r="S65" s="4" t="n">
        <f aca="false">$S$17+$S$18</f>
        <v>0.2325</v>
      </c>
      <c r="T65" s="4" t="n">
        <f aca="false">$T$17+$T$18</f>
        <v>0.2025</v>
      </c>
    </row>
    <row r="66" customFormat="false" ht="12.75" hidden="false" customHeight="false" outlineLevel="0" collapsed="false">
      <c r="D66" s="0" t="s">
        <v>18</v>
      </c>
      <c r="F66" s="4" t="n">
        <f aca="false">$F$17+$F$18</f>
        <v>0.2275</v>
      </c>
      <c r="G66" s="4" t="n">
        <f aca="false">$G$17+$G$18</f>
        <v>0.2275</v>
      </c>
      <c r="H66" s="4" t="n">
        <f aca="false">$H$17+$H$18</f>
        <v>0.1975</v>
      </c>
      <c r="I66" s="4" t="n">
        <f aca="false">$I$17+$I$18</f>
        <v>0.1575</v>
      </c>
      <c r="J66" s="4" t="n">
        <f aca="false">$J$17+$J$18</f>
        <v>0.1175</v>
      </c>
      <c r="K66" s="4" t="n">
        <f aca="false">$K$17+$K$18</f>
        <v>0.1175</v>
      </c>
      <c r="L66" s="4" t="n">
        <f aca="false">$L$17+$L$18</f>
        <v>0.1175</v>
      </c>
      <c r="M66" s="4" t="n">
        <f aca="false">$M$17+$M$18</f>
        <v>0.1175</v>
      </c>
      <c r="N66" s="4" t="n">
        <f aca="false">$N$17+$N$18</f>
        <v>0.1175</v>
      </c>
      <c r="O66" s="4" t="n">
        <f aca="false">$O$17+$O$18</f>
        <v>0.1575</v>
      </c>
      <c r="P66" s="4" t="n">
        <f aca="false">$P$17+$P$18</f>
        <v>0.2025</v>
      </c>
      <c r="Q66" s="4" t="n">
        <f aca="false">$Q$17+$Q$18</f>
        <v>0.2125</v>
      </c>
      <c r="R66" s="4" t="n">
        <f aca="false">$R$17+$R$18</f>
        <v>0.2325</v>
      </c>
      <c r="S66" s="4" t="n">
        <f aca="false">$S$17+$S$18</f>
        <v>0.2325</v>
      </c>
      <c r="T66" s="4" t="n">
        <f aca="false">$T$17+$T$18</f>
        <v>0.2025</v>
      </c>
    </row>
    <row r="67" customFormat="false" ht="12.75" hidden="false" customHeight="false" outlineLevel="0" collapsed="false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customFormat="false" ht="12.75" hidden="false" customHeight="false" outlineLevel="0" collapsed="false">
      <c r="C68" s="0" t="s">
        <v>19</v>
      </c>
      <c r="F68" s="6" t="n">
        <v>0</v>
      </c>
      <c r="G68" s="6" t="n">
        <v>0</v>
      </c>
      <c r="H68" s="6" t="n">
        <v>0</v>
      </c>
      <c r="I68" s="6" t="n">
        <v>0</v>
      </c>
      <c r="J68" s="6" t="n">
        <v>0</v>
      </c>
      <c r="K68" s="6" t="n">
        <v>0</v>
      </c>
      <c r="L68" s="6" t="n">
        <v>0</v>
      </c>
      <c r="M68" s="6" t="n">
        <v>0</v>
      </c>
      <c r="N68" s="6" t="n">
        <v>0</v>
      </c>
      <c r="O68" s="6" t="n">
        <v>0</v>
      </c>
      <c r="P68" s="6" t="n">
        <v>0</v>
      </c>
      <c r="Q68" s="6" t="n">
        <v>0</v>
      </c>
      <c r="R68" s="6" t="n">
        <v>0</v>
      </c>
      <c r="S68" s="6" t="n">
        <v>0</v>
      </c>
      <c r="T68" s="6" t="n">
        <v>0</v>
      </c>
    </row>
    <row r="69" customFormat="false" ht="12.75" hidden="false" customHeight="false" outlineLevel="0" collapsed="false">
      <c r="C69" s="0" t="s">
        <v>20</v>
      </c>
      <c r="F69" s="6" t="n">
        <v>0</v>
      </c>
      <c r="G69" s="6" t="n">
        <v>0</v>
      </c>
      <c r="H69" s="6" t="n">
        <v>0</v>
      </c>
      <c r="I69" s="6" t="n">
        <v>0</v>
      </c>
      <c r="J69" s="6" t="n">
        <v>0</v>
      </c>
      <c r="K69" s="6" t="n">
        <v>0</v>
      </c>
      <c r="L69" s="6" t="n">
        <v>0</v>
      </c>
      <c r="M69" s="6" t="n">
        <v>0</v>
      </c>
      <c r="N69" s="6" t="n">
        <v>0</v>
      </c>
      <c r="O69" s="6" t="n">
        <v>0</v>
      </c>
      <c r="P69" s="6" t="n">
        <v>0</v>
      </c>
      <c r="Q69" s="6" t="n">
        <v>0</v>
      </c>
      <c r="R69" s="6" t="n">
        <v>0</v>
      </c>
      <c r="S69" s="6" t="n">
        <v>0</v>
      </c>
      <c r="T69" s="6" t="n">
        <v>0</v>
      </c>
    </row>
    <row r="70" customFormat="false" ht="12.75" hidden="false" customHeight="false" outlineLevel="0" collapsed="false">
      <c r="C70" s="0" t="s">
        <v>21</v>
      </c>
      <c r="F70" s="6" t="n">
        <v>0</v>
      </c>
      <c r="G70" s="6" t="n">
        <v>0</v>
      </c>
      <c r="H70" s="6" t="n">
        <v>0</v>
      </c>
      <c r="I70" s="6" t="n">
        <v>0</v>
      </c>
      <c r="J70" s="6" t="n">
        <v>0</v>
      </c>
      <c r="K70" s="6" t="n">
        <v>0</v>
      </c>
      <c r="L70" s="6" t="n">
        <v>0</v>
      </c>
      <c r="M70" s="6" t="n">
        <v>0</v>
      </c>
      <c r="N70" s="6" t="n">
        <v>0</v>
      </c>
      <c r="O70" s="6" t="n">
        <v>0</v>
      </c>
      <c r="P70" s="6" t="n">
        <v>0</v>
      </c>
      <c r="Q70" s="6" t="n">
        <v>0</v>
      </c>
      <c r="R70" s="6" t="n">
        <v>0</v>
      </c>
      <c r="S70" s="6" t="n">
        <v>0</v>
      </c>
      <c r="T70" s="6" t="n">
        <v>0</v>
      </c>
    </row>
    <row r="71" customFormat="false" ht="12.75" hidden="false" customHeight="false" outlineLevel="0" collapsed="false">
      <c r="C71" s="0" t="s">
        <v>20</v>
      </c>
      <c r="F71" s="6" t="n">
        <v>0</v>
      </c>
      <c r="G71" s="6" t="n">
        <v>0</v>
      </c>
      <c r="H71" s="6" t="n">
        <v>0</v>
      </c>
      <c r="I71" s="6" t="n">
        <v>0</v>
      </c>
      <c r="J71" s="6" t="n">
        <v>0</v>
      </c>
      <c r="K71" s="6" t="n">
        <v>0</v>
      </c>
      <c r="L71" s="6" t="n">
        <v>0</v>
      </c>
      <c r="M71" s="6" t="n">
        <v>0</v>
      </c>
      <c r="N71" s="6" t="n">
        <v>0</v>
      </c>
      <c r="O71" s="6" t="n">
        <v>0</v>
      </c>
      <c r="P71" s="6" t="n">
        <v>0</v>
      </c>
      <c r="Q71" s="6" t="n">
        <v>0</v>
      </c>
      <c r="R71" s="6" t="n">
        <v>0</v>
      </c>
      <c r="S71" s="6" t="n">
        <v>0</v>
      </c>
      <c r="T71" s="6" t="n">
        <v>0</v>
      </c>
    </row>
    <row r="72" customFormat="false" ht="12.75" hidden="false" customHeight="false" outlineLevel="0" collapsed="false">
      <c r="C72" s="0" t="s">
        <v>22</v>
      </c>
      <c r="F72" s="4" t="s">
        <v>33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customFormat="false" ht="12.75" hidden="false" customHeight="false" outlineLevel="0" collapsed="false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customFormat="false" ht="12.75" hidden="false" customHeight="false" outlineLevel="0" collapsed="false">
      <c r="B74" s="1" t="s">
        <v>29</v>
      </c>
      <c r="C74" s="1" t="s">
        <v>34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customFormat="false" ht="12.75" hidden="false" customHeight="false" outlineLevel="0" collapsed="false">
      <c r="D75" s="0" t="s">
        <v>17</v>
      </c>
      <c r="F75" s="4" t="n">
        <f aca="false">$F$17+$F$18</f>
        <v>0.2275</v>
      </c>
      <c r="G75" s="4" t="n">
        <f aca="false">$G$17+$G$18</f>
        <v>0.2275</v>
      </c>
      <c r="H75" s="4" t="n">
        <f aca="false">$H$17+$H$18</f>
        <v>0.1975</v>
      </c>
      <c r="I75" s="4" t="n">
        <f aca="false">$I$17+$I$18</f>
        <v>0.1575</v>
      </c>
      <c r="J75" s="4" t="n">
        <f aca="false">$J$17+$J$18</f>
        <v>0.1175</v>
      </c>
      <c r="K75" s="4" t="n">
        <f aca="false">$K$17+$K$18</f>
        <v>0.1175</v>
      </c>
      <c r="L75" s="4" t="n">
        <f aca="false">$L$17+$L$18</f>
        <v>0.1175</v>
      </c>
      <c r="M75" s="4" t="n">
        <f aca="false">$M$17+$M$18</f>
        <v>0.1175</v>
      </c>
      <c r="N75" s="4" t="n">
        <f aca="false">$N$17+$N$18</f>
        <v>0.1175</v>
      </c>
      <c r="O75" s="4" t="n">
        <f aca="false">$O$17+$O$18</f>
        <v>0.1575</v>
      </c>
      <c r="P75" s="4" t="n">
        <f aca="false">$P$17+$P$18</f>
        <v>0.2025</v>
      </c>
      <c r="Q75" s="4" t="n">
        <f aca="false">$Q$17+$Q$18</f>
        <v>0.2125</v>
      </c>
      <c r="R75" s="4" t="n">
        <f aca="false">$R$17+$R$18</f>
        <v>0.2325</v>
      </c>
      <c r="S75" s="4" t="n">
        <f aca="false">$S$17+$S$18</f>
        <v>0.2325</v>
      </c>
      <c r="T75" s="4" t="n">
        <f aca="false">$T$17+$T$18</f>
        <v>0.2025</v>
      </c>
    </row>
    <row r="76" customFormat="false" ht="12.75" hidden="false" customHeight="false" outlineLevel="0" collapsed="false">
      <c r="D76" s="0" t="s">
        <v>18</v>
      </c>
      <c r="F76" s="4" t="n">
        <f aca="false">$F$17+$F$18</f>
        <v>0.2275</v>
      </c>
      <c r="G76" s="4" t="n">
        <f aca="false">$G$17+$G$18</f>
        <v>0.2275</v>
      </c>
      <c r="H76" s="4" t="n">
        <f aca="false">$H$17+$H$18</f>
        <v>0.1975</v>
      </c>
      <c r="I76" s="4" t="n">
        <f aca="false">$I$17+$I$18</f>
        <v>0.1575</v>
      </c>
      <c r="J76" s="4" t="n">
        <f aca="false">$J$17+$J$18</f>
        <v>0.1175</v>
      </c>
      <c r="K76" s="4" t="n">
        <f aca="false">$K$17+$K$18</f>
        <v>0.1175</v>
      </c>
      <c r="L76" s="4" t="n">
        <f aca="false">$L$17+$L$18</f>
        <v>0.1175</v>
      </c>
      <c r="M76" s="4" t="n">
        <f aca="false">$M$17+$M$18</f>
        <v>0.1175</v>
      </c>
      <c r="N76" s="4" t="n">
        <f aca="false">$N$17+$N$18</f>
        <v>0.1175</v>
      </c>
      <c r="O76" s="4" t="n">
        <f aca="false">$O$17+$O$18</f>
        <v>0.1575</v>
      </c>
      <c r="P76" s="4" t="n">
        <f aca="false">$P$17+$P$18</f>
        <v>0.2025</v>
      </c>
      <c r="Q76" s="4" t="n">
        <f aca="false">$Q$17+$Q$18</f>
        <v>0.2125</v>
      </c>
      <c r="R76" s="4" t="n">
        <f aca="false">$R$17+$R$18</f>
        <v>0.2325</v>
      </c>
      <c r="S76" s="4" t="n">
        <f aca="false">$S$17+$S$18</f>
        <v>0.2325</v>
      </c>
      <c r="T76" s="4" t="n">
        <f aca="false">$T$17+$T$18</f>
        <v>0.2025</v>
      </c>
    </row>
    <row r="77" customFormat="false" ht="12.75" hidden="false" customHeight="false" outlineLevel="0" collapsed="false"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customFormat="false" ht="12.75" hidden="true" customHeight="false" outlineLevel="0" collapsed="false">
      <c r="C78" s="0" t="s">
        <v>19</v>
      </c>
      <c r="F78" s="7" t="n">
        <v>5457</v>
      </c>
      <c r="G78" s="7" t="n">
        <v>7157</v>
      </c>
      <c r="H78" s="7" t="n">
        <v>4590</v>
      </c>
      <c r="I78" s="7" t="n">
        <v>4590</v>
      </c>
      <c r="J78" s="7" t="n">
        <v>4080</v>
      </c>
      <c r="K78" s="7" t="n">
        <v>2346</v>
      </c>
      <c r="L78" s="7" t="n">
        <v>1326</v>
      </c>
      <c r="M78" s="7" t="n">
        <v>255</v>
      </c>
      <c r="N78" s="7" t="n">
        <v>102</v>
      </c>
      <c r="O78" s="7" t="n">
        <v>2040</v>
      </c>
      <c r="P78" s="7" t="n">
        <v>3570</v>
      </c>
      <c r="Q78" s="7" t="n">
        <v>5423</v>
      </c>
      <c r="R78" s="4"/>
      <c r="S78" s="4"/>
      <c r="T78" s="4"/>
    </row>
    <row r="79" customFormat="false" ht="12.75" hidden="false" customHeight="false" outlineLevel="0" collapsed="false">
      <c r="A79" s="8"/>
      <c r="B79" s="8"/>
      <c r="C79" s="0" t="s">
        <v>19</v>
      </c>
      <c r="D79" s="8"/>
      <c r="E79" s="8"/>
      <c r="F79" s="9" t="n">
        <f aca="false">F78/31</f>
        <v>176.032258064516</v>
      </c>
      <c r="G79" s="9" t="n">
        <f aca="false">G78/29</f>
        <v>246.793103448276</v>
      </c>
      <c r="H79" s="9" t="n">
        <f aca="false">H78/31</f>
        <v>148.064516129032</v>
      </c>
      <c r="I79" s="9" t="n">
        <f aca="false">I78/30</f>
        <v>153</v>
      </c>
      <c r="J79" s="9" t="n">
        <f aca="false">J78/31</f>
        <v>131.612903225806</v>
      </c>
      <c r="K79" s="9" t="n">
        <f aca="false">K78/30</f>
        <v>78.2</v>
      </c>
      <c r="L79" s="9" t="n">
        <f aca="false">L78/31</f>
        <v>42.7741935483871</v>
      </c>
      <c r="M79" s="9" t="n">
        <f aca="false">M78/31</f>
        <v>8.2258064516129</v>
      </c>
      <c r="N79" s="9" t="n">
        <f aca="false">N78/30</f>
        <v>3.4</v>
      </c>
      <c r="O79" s="9" t="n">
        <f aca="false">O78/31</f>
        <v>65.8064516129032</v>
      </c>
      <c r="P79" s="9" t="n">
        <f aca="false">P78/30</f>
        <v>119</v>
      </c>
      <c r="Q79" s="9" t="n">
        <f aca="false">Q78/31</f>
        <v>174.935483870968</v>
      </c>
      <c r="R79" s="9" t="n">
        <f aca="false">R78/31</f>
        <v>0</v>
      </c>
      <c r="S79" s="9" t="n">
        <f aca="false">S78/28</f>
        <v>0</v>
      </c>
      <c r="T79" s="9" t="n">
        <f aca="false">T78/31</f>
        <v>0</v>
      </c>
    </row>
    <row r="80" customFormat="false" ht="12.75" hidden="false" customHeight="false" outlineLevel="0" collapsed="false">
      <c r="A80" s="8"/>
      <c r="B80" s="8"/>
      <c r="C80" s="8" t="s">
        <v>20</v>
      </c>
      <c r="D80" s="8"/>
      <c r="E80" s="8"/>
      <c r="F80" s="8" t="n">
        <v>0</v>
      </c>
      <c r="G80" s="8" t="n">
        <v>0</v>
      </c>
      <c r="H80" s="8" t="n">
        <v>0</v>
      </c>
      <c r="I80" s="8" t="n">
        <v>0</v>
      </c>
      <c r="J80" s="8" t="n">
        <v>0</v>
      </c>
      <c r="K80" s="8" t="n">
        <v>0</v>
      </c>
      <c r="L80" s="8" t="n">
        <v>0</v>
      </c>
      <c r="M80" s="8" t="n">
        <v>0</v>
      </c>
      <c r="N80" s="8" t="n">
        <v>0</v>
      </c>
      <c r="O80" s="8" t="n">
        <v>0</v>
      </c>
      <c r="P80" s="8" t="n">
        <v>0</v>
      </c>
      <c r="Q80" s="8" t="n">
        <v>0</v>
      </c>
      <c r="R80" s="8" t="n">
        <v>0</v>
      </c>
      <c r="S80" s="8" t="n">
        <v>0</v>
      </c>
      <c r="T80" s="8" t="n">
        <v>0</v>
      </c>
    </row>
    <row r="81" customFormat="false" ht="12.75" hidden="false" customHeight="false" outlineLevel="0" collapsed="false">
      <c r="C81" s="0" t="s">
        <v>21</v>
      </c>
      <c r="F81" s="6" t="n">
        <v>0</v>
      </c>
      <c r="G81" s="6" t="n">
        <v>0</v>
      </c>
      <c r="H81" s="6" t="n">
        <v>0</v>
      </c>
      <c r="I81" s="6" t="n">
        <v>0</v>
      </c>
      <c r="J81" s="6" t="n">
        <v>0</v>
      </c>
      <c r="K81" s="6" t="n">
        <v>0</v>
      </c>
      <c r="L81" s="6" t="n">
        <v>0</v>
      </c>
      <c r="M81" s="6" t="n">
        <v>0</v>
      </c>
      <c r="N81" s="6" t="n">
        <v>0</v>
      </c>
      <c r="O81" s="6" t="n">
        <v>0</v>
      </c>
      <c r="P81" s="6" t="n">
        <v>0</v>
      </c>
      <c r="Q81" s="6" t="n">
        <v>0</v>
      </c>
      <c r="R81" s="6" t="n">
        <v>0</v>
      </c>
      <c r="S81" s="6" t="n">
        <v>0</v>
      </c>
      <c r="T81" s="6" t="n">
        <v>0</v>
      </c>
    </row>
    <row r="82" customFormat="false" ht="12.75" hidden="false" customHeight="false" outlineLevel="0" collapsed="false">
      <c r="A82" s="8"/>
      <c r="B82" s="8"/>
      <c r="C82" s="8" t="s">
        <v>20</v>
      </c>
      <c r="D82" s="8"/>
      <c r="E82" s="8"/>
      <c r="F82" s="8" t="n">
        <v>0</v>
      </c>
      <c r="G82" s="8" t="n">
        <v>0</v>
      </c>
      <c r="H82" s="8" t="n">
        <v>0</v>
      </c>
      <c r="I82" s="8" t="n">
        <v>0</v>
      </c>
      <c r="J82" s="8" t="n">
        <v>0</v>
      </c>
      <c r="K82" s="8" t="n">
        <v>0</v>
      </c>
      <c r="L82" s="8" t="n">
        <v>0</v>
      </c>
      <c r="M82" s="8" t="n">
        <v>0</v>
      </c>
      <c r="N82" s="8" t="n">
        <v>0</v>
      </c>
      <c r="O82" s="8" t="n">
        <v>0</v>
      </c>
      <c r="P82" s="8" t="n">
        <v>0</v>
      </c>
      <c r="Q82" s="8" t="n">
        <v>0</v>
      </c>
      <c r="R82" s="8" t="n">
        <v>0</v>
      </c>
      <c r="S82" s="8" t="n">
        <v>0</v>
      </c>
      <c r="T82" s="8" t="n">
        <v>0</v>
      </c>
    </row>
    <row r="83" customFormat="false" ht="12.75" hidden="false" customHeight="false" outlineLevel="0" collapsed="false">
      <c r="C83" s="0" t="s">
        <v>22</v>
      </c>
      <c r="F83" s="4" t="s">
        <v>35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customFormat="false" ht="12.75" hidden="false" customHeight="false" outlineLevel="0" collapsed="false"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customFormat="false" ht="12.75" hidden="false" customHeight="false" outlineLevel="0" collapsed="false">
      <c r="B85" s="1" t="s">
        <v>29</v>
      </c>
      <c r="C85" s="1" t="s">
        <v>36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customFormat="false" ht="12.75" hidden="false" customHeight="false" outlineLevel="0" collapsed="false">
      <c r="D86" s="0" t="s">
        <v>17</v>
      </c>
      <c r="F86" s="4" t="n">
        <f aca="false">$F$17+$F$18</f>
        <v>0.2275</v>
      </c>
      <c r="G86" s="4" t="n">
        <f aca="false">$G$17+$G$18</f>
        <v>0.2275</v>
      </c>
      <c r="H86" s="4" t="n">
        <f aca="false">$H$17+$H$18</f>
        <v>0.1975</v>
      </c>
      <c r="I86" s="4" t="n">
        <f aca="false">$I$17+$I$18</f>
        <v>0.1575</v>
      </c>
      <c r="J86" s="4" t="n">
        <f aca="false">$J$17+$J$18</f>
        <v>0.1175</v>
      </c>
      <c r="K86" s="4" t="n">
        <f aca="false">$K$17+$K$18</f>
        <v>0.1175</v>
      </c>
      <c r="L86" s="4" t="n">
        <f aca="false">$L$17+$L$18</f>
        <v>0.1175</v>
      </c>
      <c r="M86" s="4" t="n">
        <f aca="false">$M$17+$M$18</f>
        <v>0.1175</v>
      </c>
      <c r="N86" s="4" t="n">
        <f aca="false">$N$17+$N$18</f>
        <v>0.1175</v>
      </c>
      <c r="O86" s="4" t="n">
        <f aca="false">$O$17+$O$18</f>
        <v>0.1575</v>
      </c>
      <c r="P86" s="4" t="n">
        <f aca="false">$P$17+$P$18</f>
        <v>0.2025</v>
      </c>
      <c r="Q86" s="4" t="n">
        <f aca="false">$Q$17+$Q$18</f>
        <v>0.2125</v>
      </c>
      <c r="R86" s="4" t="n">
        <f aca="false">$R$17+$R$18</f>
        <v>0.2325</v>
      </c>
      <c r="S86" s="4" t="n">
        <f aca="false">$S$17+$S$18</f>
        <v>0.2325</v>
      </c>
      <c r="T86" s="4" t="n">
        <f aca="false">$T$17+$T$18</f>
        <v>0.2025</v>
      </c>
    </row>
    <row r="87" customFormat="false" ht="12.75" hidden="false" customHeight="false" outlineLevel="0" collapsed="false">
      <c r="D87" s="0" t="s">
        <v>18</v>
      </c>
      <c r="F87" s="4" t="n">
        <f aca="false">$F$17+$F$18</f>
        <v>0.2275</v>
      </c>
      <c r="G87" s="4" t="n">
        <f aca="false">$G$17+$G$18</f>
        <v>0.2275</v>
      </c>
      <c r="H87" s="4" t="n">
        <f aca="false">$H$17+$H$18</f>
        <v>0.1975</v>
      </c>
      <c r="I87" s="4" t="n">
        <f aca="false">$I$17+$I$18</f>
        <v>0.1575</v>
      </c>
      <c r="J87" s="4" t="n">
        <f aca="false">$J$17+$J$18</f>
        <v>0.1175</v>
      </c>
      <c r="K87" s="4" t="n">
        <f aca="false">$K$17+$K$18</f>
        <v>0.1175</v>
      </c>
      <c r="L87" s="4" t="n">
        <f aca="false">$L$17+$L$18</f>
        <v>0.1175</v>
      </c>
      <c r="M87" s="4" t="n">
        <f aca="false">$M$17+$M$18</f>
        <v>0.1175</v>
      </c>
      <c r="N87" s="4" t="n">
        <f aca="false">$N$17+$N$18</f>
        <v>0.1175</v>
      </c>
      <c r="O87" s="4" t="n">
        <f aca="false">$O$17+$O$18</f>
        <v>0.1575</v>
      </c>
      <c r="P87" s="4" t="n">
        <f aca="false">$P$17+$P$18</f>
        <v>0.2025</v>
      </c>
      <c r="Q87" s="4" t="n">
        <f aca="false">$Q$17+$Q$18</f>
        <v>0.2125</v>
      </c>
      <c r="R87" s="4" t="n">
        <f aca="false">$R$17+$R$18</f>
        <v>0.2325</v>
      </c>
      <c r="S87" s="4" t="n">
        <f aca="false">$S$17+$S$18</f>
        <v>0.2325</v>
      </c>
      <c r="T87" s="4" t="n">
        <f aca="false">$T$17+$T$18</f>
        <v>0.2025</v>
      </c>
    </row>
    <row r="88" customFormat="false" ht="12.75" hidden="false" customHeight="false" outlineLevel="0" collapsed="false"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customFormat="false" ht="12.75" hidden="false" customHeight="false" outlineLevel="0" collapsed="false">
      <c r="C89" s="0" t="s">
        <v>19</v>
      </c>
      <c r="F89" s="6" t="n">
        <v>0</v>
      </c>
      <c r="G89" s="6" t="n">
        <v>0</v>
      </c>
      <c r="H89" s="6" t="n">
        <v>0</v>
      </c>
      <c r="I89" s="6" t="n">
        <v>0</v>
      </c>
      <c r="J89" s="6" t="n">
        <v>0</v>
      </c>
      <c r="K89" s="6" t="n">
        <v>0</v>
      </c>
      <c r="L89" s="6" t="n">
        <v>0</v>
      </c>
      <c r="M89" s="6" t="n">
        <v>0</v>
      </c>
      <c r="N89" s="6" t="n">
        <v>0</v>
      </c>
      <c r="O89" s="6" t="n">
        <v>0</v>
      </c>
      <c r="P89" s="6" t="n">
        <v>0</v>
      </c>
      <c r="Q89" s="6" t="n">
        <v>0</v>
      </c>
      <c r="R89" s="6" t="n">
        <v>0</v>
      </c>
      <c r="S89" s="6" t="n">
        <v>0</v>
      </c>
      <c r="T89" s="6" t="n">
        <v>0</v>
      </c>
    </row>
    <row r="90" customFormat="false" ht="12.75" hidden="false" customHeight="false" outlineLevel="0" collapsed="false">
      <c r="C90" s="0" t="s">
        <v>20</v>
      </c>
      <c r="F90" s="6" t="n">
        <v>0</v>
      </c>
      <c r="G90" s="6" t="n">
        <v>0</v>
      </c>
      <c r="H90" s="6" t="n">
        <v>0</v>
      </c>
      <c r="I90" s="6" t="n">
        <v>0</v>
      </c>
      <c r="J90" s="6" t="n">
        <v>0</v>
      </c>
      <c r="K90" s="6" t="n">
        <v>0</v>
      </c>
      <c r="L90" s="6" t="n">
        <v>0</v>
      </c>
      <c r="M90" s="6" t="n">
        <v>0</v>
      </c>
      <c r="N90" s="6" t="n">
        <v>0</v>
      </c>
      <c r="O90" s="6" t="n">
        <v>0</v>
      </c>
      <c r="P90" s="6" t="n">
        <v>0</v>
      </c>
      <c r="Q90" s="6" t="n">
        <v>0</v>
      </c>
      <c r="R90" s="6" t="n">
        <v>0</v>
      </c>
      <c r="S90" s="6" t="n">
        <v>0</v>
      </c>
      <c r="T90" s="6" t="n">
        <v>0</v>
      </c>
    </row>
    <row r="91" customFormat="false" ht="12.75" hidden="false" customHeight="false" outlineLevel="0" collapsed="false">
      <c r="C91" s="0" t="s">
        <v>21</v>
      </c>
      <c r="F91" s="6" t="n">
        <v>0</v>
      </c>
      <c r="G91" s="6" t="n">
        <v>0</v>
      </c>
      <c r="H91" s="6" t="n">
        <v>0</v>
      </c>
      <c r="I91" s="6" t="n">
        <v>0</v>
      </c>
      <c r="J91" s="6" t="n">
        <v>0</v>
      </c>
      <c r="K91" s="6" t="n">
        <v>0</v>
      </c>
      <c r="L91" s="6" t="n">
        <v>0</v>
      </c>
      <c r="M91" s="6" t="n">
        <v>0</v>
      </c>
      <c r="N91" s="6" t="n">
        <v>0</v>
      </c>
      <c r="O91" s="6" t="n">
        <v>0</v>
      </c>
      <c r="P91" s="6" t="n">
        <v>0</v>
      </c>
      <c r="Q91" s="6" t="n">
        <v>0</v>
      </c>
      <c r="R91" s="6" t="n">
        <v>0</v>
      </c>
      <c r="S91" s="6" t="n">
        <v>0</v>
      </c>
      <c r="T91" s="6" t="n">
        <v>0</v>
      </c>
    </row>
    <row r="92" customFormat="false" ht="12.75" hidden="false" customHeight="false" outlineLevel="0" collapsed="false">
      <c r="C92" s="0" t="s">
        <v>20</v>
      </c>
      <c r="F92" s="6" t="n">
        <v>0</v>
      </c>
      <c r="G92" s="6" t="n">
        <v>0</v>
      </c>
      <c r="H92" s="6" t="n">
        <v>0</v>
      </c>
      <c r="I92" s="6" t="n">
        <v>0</v>
      </c>
      <c r="J92" s="6" t="n">
        <v>0</v>
      </c>
      <c r="K92" s="6" t="n">
        <v>0</v>
      </c>
      <c r="L92" s="6" t="n">
        <v>0</v>
      </c>
      <c r="M92" s="6" t="n">
        <v>0</v>
      </c>
      <c r="N92" s="6" t="n">
        <v>0</v>
      </c>
      <c r="O92" s="6" t="n">
        <v>0</v>
      </c>
      <c r="P92" s="6" t="n">
        <v>0</v>
      </c>
      <c r="Q92" s="6" t="n">
        <v>0</v>
      </c>
      <c r="R92" s="6" t="n">
        <v>0</v>
      </c>
      <c r="S92" s="6" t="n">
        <v>0</v>
      </c>
      <c r="T92" s="6" t="n">
        <v>0</v>
      </c>
    </row>
    <row r="93" customFormat="false" ht="12.75" hidden="false" customHeight="false" outlineLevel="0" collapsed="false">
      <c r="C93" s="0" t="s">
        <v>22</v>
      </c>
      <c r="F93" s="4" t="s">
        <v>37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customFormat="false" ht="12.75" hidden="false" customHeight="false" outlineLevel="0" collapsed="false"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customFormat="false" ht="12.75" hidden="false" customHeight="false" outlineLevel="0" collapsed="false">
      <c r="B95" s="1" t="s">
        <v>29</v>
      </c>
      <c r="C95" s="1" t="s">
        <v>38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customFormat="false" ht="12.75" hidden="false" customHeight="false" outlineLevel="0" collapsed="false">
      <c r="D96" s="0" t="s">
        <v>17</v>
      </c>
      <c r="F96" s="4" t="n">
        <f aca="false">$F$17+$F$18</f>
        <v>0.2275</v>
      </c>
      <c r="G96" s="4" t="n">
        <f aca="false">$G$17+$G$18</f>
        <v>0.2275</v>
      </c>
      <c r="H96" s="4" t="n">
        <f aca="false">$H$17+$H$18</f>
        <v>0.1975</v>
      </c>
      <c r="I96" s="4" t="n">
        <f aca="false">$I$17+$I$18</f>
        <v>0.1575</v>
      </c>
      <c r="J96" s="4" t="n">
        <f aca="false">$J$17+$J$18</f>
        <v>0.1175</v>
      </c>
      <c r="K96" s="4" t="n">
        <f aca="false">$K$17+$K$18</f>
        <v>0.1175</v>
      </c>
      <c r="L96" s="4" t="n">
        <f aca="false">$L$17+$L$18</f>
        <v>0.1175</v>
      </c>
      <c r="M96" s="4" t="n">
        <f aca="false">$M$17+$M$18</f>
        <v>0.1175</v>
      </c>
      <c r="N96" s="4" t="n">
        <f aca="false">$N$17+$N$18</f>
        <v>0.1175</v>
      </c>
      <c r="O96" s="4" t="n">
        <f aca="false">$O$17+$O$18</f>
        <v>0.1575</v>
      </c>
      <c r="P96" s="4" t="n">
        <f aca="false">$P$17+$P$18</f>
        <v>0.2025</v>
      </c>
      <c r="Q96" s="4" t="n">
        <f aca="false">$Q$17+$Q$18</f>
        <v>0.2125</v>
      </c>
      <c r="R96" s="4" t="n">
        <f aca="false">$R$17+$R$18</f>
        <v>0.2325</v>
      </c>
      <c r="S96" s="4" t="n">
        <f aca="false">$S$17+$S$18</f>
        <v>0.2325</v>
      </c>
      <c r="T96" s="4" t="n">
        <f aca="false">$T$17+$T$18</f>
        <v>0.2025</v>
      </c>
    </row>
    <row r="97" customFormat="false" ht="12.75" hidden="false" customHeight="false" outlineLevel="0" collapsed="false">
      <c r="D97" s="0" t="s">
        <v>18</v>
      </c>
      <c r="F97" s="4" t="n">
        <f aca="false">$F$17+$F$18</f>
        <v>0.2275</v>
      </c>
      <c r="G97" s="4" t="n">
        <f aca="false">$G$17+$G$18</f>
        <v>0.2275</v>
      </c>
      <c r="H97" s="4" t="n">
        <f aca="false">$H$17+$H$18</f>
        <v>0.1975</v>
      </c>
      <c r="I97" s="4" t="n">
        <f aca="false">$I$17+$I$18</f>
        <v>0.1575</v>
      </c>
      <c r="J97" s="4" t="n">
        <f aca="false">$J$17+$J$18</f>
        <v>0.1175</v>
      </c>
      <c r="K97" s="4" t="n">
        <f aca="false">$K$17+$K$18</f>
        <v>0.1175</v>
      </c>
      <c r="L97" s="4" t="n">
        <f aca="false">$L$17+$L$18</f>
        <v>0.1175</v>
      </c>
      <c r="M97" s="4" t="n">
        <f aca="false">$M$17+$M$18</f>
        <v>0.1175</v>
      </c>
      <c r="N97" s="4" t="n">
        <f aca="false">$N$17+$N$18</f>
        <v>0.1175</v>
      </c>
      <c r="O97" s="4" t="n">
        <f aca="false">$O$17+$O$18</f>
        <v>0.1575</v>
      </c>
      <c r="P97" s="4" t="n">
        <f aca="false">$P$17+$P$18</f>
        <v>0.2025</v>
      </c>
      <c r="Q97" s="4" t="n">
        <f aca="false">$Q$17+$Q$18</f>
        <v>0.2125</v>
      </c>
      <c r="R97" s="4" t="n">
        <f aca="false">$R$17+$R$18</f>
        <v>0.2325</v>
      </c>
      <c r="S97" s="4" t="n">
        <f aca="false">$S$17+$S$18</f>
        <v>0.2325</v>
      </c>
      <c r="T97" s="4" t="n">
        <f aca="false">$T$17+$T$18</f>
        <v>0.2025</v>
      </c>
    </row>
    <row r="98" customFormat="false" ht="12.75" hidden="false" customHeight="false" outlineLevel="0" collapsed="false"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</row>
    <row r="99" customFormat="false" ht="12.75" hidden="true" customHeight="false" outlineLevel="0" collapsed="false">
      <c r="C99" s="0" t="s">
        <v>19</v>
      </c>
      <c r="F99" s="10" t="n">
        <v>44024</v>
      </c>
      <c r="G99" s="10" t="n">
        <v>42058</v>
      </c>
      <c r="H99" s="10" t="n">
        <v>41816</v>
      </c>
      <c r="I99" s="10" t="n">
        <v>41816</v>
      </c>
      <c r="J99" s="10" t="n">
        <v>23295</v>
      </c>
      <c r="K99" s="10" t="n">
        <v>21586</v>
      </c>
      <c r="L99" s="10" t="n">
        <v>20344</v>
      </c>
      <c r="M99" s="10" t="n">
        <v>20190</v>
      </c>
      <c r="N99" s="10" t="n">
        <v>20805</v>
      </c>
      <c r="O99" s="10" t="n">
        <v>19343</v>
      </c>
      <c r="P99" s="10" t="n">
        <v>1800</v>
      </c>
      <c r="Q99" s="10" t="n">
        <v>2000</v>
      </c>
      <c r="R99" s="10" t="n">
        <v>2500</v>
      </c>
      <c r="S99" s="10" t="n">
        <v>2800</v>
      </c>
      <c r="T99" s="10" t="n">
        <v>2300</v>
      </c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</row>
    <row r="100" customFormat="false" ht="12.75" hidden="false" customHeight="false" outlineLevel="0" collapsed="false">
      <c r="A100" s="8"/>
      <c r="B100" s="8"/>
      <c r="C100" s="0" t="s">
        <v>19</v>
      </c>
      <c r="D100" s="8"/>
      <c r="E100" s="8"/>
      <c r="F100" s="10" t="n">
        <f aca="false">F99/31</f>
        <v>1420.12903225806</v>
      </c>
      <c r="G100" s="10" t="n">
        <f aca="false">G99/29</f>
        <v>1450.27586206897</v>
      </c>
      <c r="H100" s="10" t="n">
        <f aca="false">H99/31</f>
        <v>1348.90322580645</v>
      </c>
      <c r="I100" s="10" t="n">
        <f aca="false">I99/30</f>
        <v>1393.86666666667</v>
      </c>
      <c r="J100" s="10" t="n">
        <f aca="false">J99/31</f>
        <v>751.451612903226</v>
      </c>
      <c r="K100" s="10" t="n">
        <f aca="false">K99/30</f>
        <v>719.533333333333</v>
      </c>
      <c r="L100" s="10" t="n">
        <f aca="false">L99/31</f>
        <v>656.258064516129</v>
      </c>
      <c r="M100" s="10" t="n">
        <f aca="false">M99/31</f>
        <v>651.290322580645</v>
      </c>
      <c r="N100" s="10" t="n">
        <f aca="false">N99/30</f>
        <v>693.5</v>
      </c>
      <c r="O100" s="10" t="n">
        <f aca="false">O99/31</f>
        <v>623.967741935484</v>
      </c>
      <c r="P100" s="10" t="n">
        <f aca="false">P99/30</f>
        <v>60</v>
      </c>
      <c r="Q100" s="10" t="n">
        <f aca="false">Q99/31</f>
        <v>64.5161290322581</v>
      </c>
      <c r="R100" s="10" t="n">
        <f aca="false">R99/31</f>
        <v>80.6451612903226</v>
      </c>
      <c r="S100" s="10" t="n">
        <f aca="false">S99/28</f>
        <v>100</v>
      </c>
      <c r="T100" s="10" t="n">
        <f aca="false">T99/31</f>
        <v>74.1935483870968</v>
      </c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</row>
    <row r="101" customFormat="false" ht="12.75" hidden="false" customHeight="false" outlineLevel="0" collapsed="false">
      <c r="A101" s="8"/>
      <c r="B101" s="8"/>
      <c r="C101" s="8" t="s">
        <v>20</v>
      </c>
      <c r="D101" s="8"/>
      <c r="E101" s="8"/>
      <c r="F101" s="6" t="n">
        <v>0</v>
      </c>
      <c r="G101" s="6" t="n">
        <v>0</v>
      </c>
      <c r="H101" s="6" t="n">
        <v>0</v>
      </c>
      <c r="I101" s="6" t="n">
        <v>0</v>
      </c>
      <c r="J101" s="6" t="n">
        <v>0</v>
      </c>
      <c r="K101" s="6" t="n">
        <v>0</v>
      </c>
      <c r="L101" s="6" t="n">
        <v>0</v>
      </c>
      <c r="M101" s="6" t="n">
        <v>0</v>
      </c>
      <c r="N101" s="6" t="n">
        <v>0</v>
      </c>
      <c r="O101" s="6" t="n">
        <v>0</v>
      </c>
      <c r="P101" s="6" t="n">
        <v>0</v>
      </c>
      <c r="Q101" s="6" t="n">
        <v>0</v>
      </c>
      <c r="R101" s="6" t="n">
        <v>0</v>
      </c>
      <c r="S101" s="6" t="n">
        <v>0</v>
      </c>
      <c r="T101" s="6" t="n">
        <v>0</v>
      </c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</row>
    <row r="102" customFormat="false" ht="12.75" hidden="false" customHeight="false" outlineLevel="0" collapsed="false">
      <c r="C102" s="0" t="s">
        <v>21</v>
      </c>
      <c r="F102" s="6" t="n">
        <v>0</v>
      </c>
      <c r="G102" s="6" t="n">
        <v>0</v>
      </c>
      <c r="H102" s="6" t="n">
        <v>0</v>
      </c>
      <c r="I102" s="6" t="n">
        <v>0</v>
      </c>
      <c r="J102" s="6" t="n">
        <v>0</v>
      </c>
      <c r="K102" s="6" t="n">
        <v>0</v>
      </c>
      <c r="L102" s="6" t="n">
        <v>0</v>
      </c>
      <c r="M102" s="6" t="n">
        <v>0</v>
      </c>
      <c r="N102" s="6" t="n">
        <v>0</v>
      </c>
      <c r="O102" s="6" t="n">
        <v>0</v>
      </c>
      <c r="P102" s="6" t="n">
        <v>0</v>
      </c>
      <c r="Q102" s="6" t="n">
        <v>0</v>
      </c>
      <c r="R102" s="6" t="n">
        <v>0</v>
      </c>
      <c r="S102" s="6" t="n">
        <v>0</v>
      </c>
      <c r="T102" s="6" t="n">
        <v>0</v>
      </c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</row>
    <row r="103" customFormat="false" ht="12.75" hidden="false" customHeight="false" outlineLevel="0" collapsed="false">
      <c r="A103" s="8"/>
      <c r="B103" s="8"/>
      <c r="C103" s="8" t="s">
        <v>20</v>
      </c>
      <c r="D103" s="8"/>
      <c r="E103" s="8"/>
      <c r="F103" s="6" t="n">
        <v>0</v>
      </c>
      <c r="G103" s="6" t="n">
        <v>0</v>
      </c>
      <c r="H103" s="6" t="n">
        <v>0</v>
      </c>
      <c r="I103" s="6" t="n">
        <v>0</v>
      </c>
      <c r="J103" s="6" t="n">
        <v>0</v>
      </c>
      <c r="K103" s="6" t="n">
        <v>0</v>
      </c>
      <c r="L103" s="6" t="n">
        <v>0</v>
      </c>
      <c r="M103" s="6" t="n">
        <v>0</v>
      </c>
      <c r="N103" s="6" t="n">
        <v>0</v>
      </c>
      <c r="O103" s="6" t="n">
        <v>0</v>
      </c>
      <c r="P103" s="6" t="n">
        <v>0</v>
      </c>
      <c r="Q103" s="6" t="n">
        <v>0</v>
      </c>
      <c r="R103" s="6" t="n">
        <v>0</v>
      </c>
      <c r="S103" s="6" t="n">
        <v>0</v>
      </c>
      <c r="T103" s="6" t="n">
        <v>0</v>
      </c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</row>
    <row r="104" customFormat="false" ht="12.75" hidden="false" customHeight="false" outlineLevel="0" collapsed="false">
      <c r="C104" s="0" t="s">
        <v>22</v>
      </c>
      <c r="F104" s="4" t="s">
        <v>39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customFormat="false" ht="12.75" hidden="false" customHeight="false" outlineLevel="0" collapsed="false"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customFormat="false" ht="12.75" hidden="false" customHeight="false" outlineLevel="0" collapsed="false">
      <c r="B106" s="1" t="s">
        <v>40</v>
      </c>
      <c r="C106" s="1" t="s">
        <v>41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customFormat="false" ht="12.75" hidden="false" customHeight="false" outlineLevel="0" collapsed="false">
      <c r="D107" s="0" t="s">
        <v>17</v>
      </c>
      <c r="F107" s="4" t="n">
        <f aca="false">$F$17+$F$18</f>
        <v>0.2275</v>
      </c>
      <c r="G107" s="4" t="n">
        <f aca="false">$G$17+$G$18</f>
        <v>0.2275</v>
      </c>
      <c r="H107" s="4" t="n">
        <f aca="false">$H$17+$H$18</f>
        <v>0.1975</v>
      </c>
      <c r="I107" s="4" t="n">
        <f aca="false">$I$17+$I$18</f>
        <v>0.1575</v>
      </c>
      <c r="J107" s="4" t="n">
        <f aca="false">$J$17+$J$18</f>
        <v>0.1175</v>
      </c>
      <c r="K107" s="4" t="n">
        <f aca="false">$K$17+$K$18</f>
        <v>0.1175</v>
      </c>
      <c r="L107" s="4" t="n">
        <f aca="false">$L$17+$L$18</f>
        <v>0.1175</v>
      </c>
      <c r="M107" s="4" t="n">
        <f aca="false">$M$17+$M$18</f>
        <v>0.1175</v>
      </c>
      <c r="N107" s="4" t="n">
        <f aca="false">$N$17+$N$18</f>
        <v>0.1175</v>
      </c>
      <c r="O107" s="4" t="n">
        <f aca="false">$O$17+$O$18</f>
        <v>0.1575</v>
      </c>
      <c r="P107" s="4" t="n">
        <f aca="false">$P$17+$P$18</f>
        <v>0.2025</v>
      </c>
      <c r="Q107" s="4" t="n">
        <f aca="false">$Q$17+$Q$18</f>
        <v>0.2125</v>
      </c>
      <c r="R107" s="4" t="n">
        <f aca="false">$R$17+$R$18</f>
        <v>0.2325</v>
      </c>
      <c r="S107" s="4" t="n">
        <f aca="false">$S$17+$S$18</f>
        <v>0.2325</v>
      </c>
      <c r="T107" s="4" t="n">
        <f aca="false">$T$17+$T$18</f>
        <v>0.2025</v>
      </c>
    </row>
    <row r="108" customFormat="false" ht="12.75" hidden="false" customHeight="false" outlineLevel="0" collapsed="false">
      <c r="D108" s="0" t="s">
        <v>18</v>
      </c>
      <c r="F108" s="4" t="n">
        <f aca="false">$F$17+$F$18</f>
        <v>0.2275</v>
      </c>
      <c r="G108" s="4" t="n">
        <f aca="false">$G$17+$G$18</f>
        <v>0.2275</v>
      </c>
      <c r="H108" s="4" t="n">
        <f aca="false">$H$17+$H$18</f>
        <v>0.1975</v>
      </c>
      <c r="I108" s="4" t="n">
        <f aca="false">$I$17+$I$18</f>
        <v>0.1575</v>
      </c>
      <c r="J108" s="4" t="n">
        <f aca="false">$J$17+$J$18</f>
        <v>0.1175</v>
      </c>
      <c r="K108" s="4" t="n">
        <f aca="false">$K$17+$K$18</f>
        <v>0.1175</v>
      </c>
      <c r="L108" s="4" t="n">
        <f aca="false">$L$17+$L$18</f>
        <v>0.1175</v>
      </c>
      <c r="M108" s="4" t="n">
        <f aca="false">$M$17+$M$18</f>
        <v>0.1175</v>
      </c>
      <c r="N108" s="4" t="n">
        <f aca="false">$N$17+$N$18</f>
        <v>0.1175</v>
      </c>
      <c r="O108" s="4" t="n">
        <f aca="false">$O$17+$O$18</f>
        <v>0.1575</v>
      </c>
      <c r="P108" s="4" t="n">
        <f aca="false">$P$17+$P$18</f>
        <v>0.2025</v>
      </c>
      <c r="Q108" s="4" t="n">
        <f aca="false">$Q$17+$Q$18</f>
        <v>0.2125</v>
      </c>
      <c r="R108" s="4" t="n">
        <f aca="false">$R$17+$R$18</f>
        <v>0.2325</v>
      </c>
      <c r="S108" s="4" t="n">
        <f aca="false">$S$17+$S$18</f>
        <v>0.2325</v>
      </c>
      <c r="T108" s="4" t="n">
        <f aca="false">$T$17+$T$18</f>
        <v>0.2025</v>
      </c>
    </row>
    <row r="109" customFormat="false" ht="12.75" hidden="false" customHeight="false" outlineLevel="0" collapsed="false"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customFormat="false" ht="12.75" hidden="false" customHeight="false" outlineLevel="0" collapsed="false">
      <c r="C110" s="0" t="s">
        <v>19</v>
      </c>
      <c r="F110" s="6" t="n">
        <v>0</v>
      </c>
      <c r="G110" s="6" t="n">
        <v>0</v>
      </c>
      <c r="H110" s="6" t="n">
        <v>0</v>
      </c>
      <c r="I110" s="6" t="n">
        <v>0</v>
      </c>
      <c r="J110" s="6" t="n">
        <v>0</v>
      </c>
      <c r="K110" s="6" t="n">
        <v>0</v>
      </c>
      <c r="L110" s="6" t="n">
        <v>0</v>
      </c>
      <c r="M110" s="6" t="n">
        <v>0</v>
      </c>
      <c r="N110" s="6" t="n">
        <v>0</v>
      </c>
      <c r="O110" s="6" t="n">
        <v>0</v>
      </c>
      <c r="P110" s="6" t="n">
        <v>0</v>
      </c>
      <c r="Q110" s="6" t="n">
        <v>0</v>
      </c>
      <c r="R110" s="6" t="n">
        <v>0</v>
      </c>
      <c r="S110" s="6" t="n">
        <v>0</v>
      </c>
      <c r="T110" s="6" t="n">
        <v>0</v>
      </c>
    </row>
    <row r="111" customFormat="false" ht="12.75" hidden="false" customHeight="false" outlineLevel="0" collapsed="false">
      <c r="C111" s="0" t="s">
        <v>20</v>
      </c>
      <c r="F111" s="6" t="n">
        <v>0</v>
      </c>
      <c r="G111" s="6" t="n">
        <v>0</v>
      </c>
      <c r="H111" s="6" t="n">
        <v>0</v>
      </c>
      <c r="I111" s="6" t="n">
        <v>0</v>
      </c>
      <c r="J111" s="6" t="n">
        <v>0</v>
      </c>
      <c r="K111" s="6" t="n">
        <v>0</v>
      </c>
      <c r="L111" s="6" t="n">
        <v>0</v>
      </c>
      <c r="M111" s="6" t="n">
        <v>0</v>
      </c>
      <c r="N111" s="6" t="n">
        <v>0</v>
      </c>
      <c r="O111" s="6" t="n">
        <v>0</v>
      </c>
      <c r="P111" s="6" t="n">
        <v>0</v>
      </c>
      <c r="Q111" s="6" t="n">
        <v>0</v>
      </c>
      <c r="R111" s="6" t="n">
        <v>0</v>
      </c>
      <c r="S111" s="6" t="n">
        <v>0</v>
      </c>
      <c r="T111" s="6" t="n">
        <v>0</v>
      </c>
    </row>
    <row r="112" customFormat="false" ht="12.75" hidden="false" customHeight="false" outlineLevel="0" collapsed="false">
      <c r="C112" s="0" t="s">
        <v>21</v>
      </c>
      <c r="F112" s="6" t="n">
        <v>0</v>
      </c>
      <c r="G112" s="6" t="n">
        <v>0</v>
      </c>
      <c r="H112" s="6" t="n">
        <v>0</v>
      </c>
      <c r="I112" s="6" t="n">
        <v>0</v>
      </c>
      <c r="J112" s="6" t="n">
        <v>0</v>
      </c>
      <c r="K112" s="6" t="n">
        <v>0</v>
      </c>
      <c r="L112" s="6" t="n">
        <v>0</v>
      </c>
      <c r="M112" s="6" t="n">
        <v>0</v>
      </c>
      <c r="N112" s="6" t="n">
        <v>0</v>
      </c>
      <c r="O112" s="6" t="n">
        <v>0</v>
      </c>
      <c r="P112" s="6" t="n">
        <v>0</v>
      </c>
      <c r="Q112" s="6" t="n">
        <v>0</v>
      </c>
      <c r="R112" s="6" t="n">
        <v>0</v>
      </c>
      <c r="S112" s="6" t="n">
        <v>0</v>
      </c>
      <c r="T112" s="6" t="n">
        <v>0</v>
      </c>
    </row>
    <row r="113" customFormat="false" ht="12.75" hidden="false" customHeight="false" outlineLevel="0" collapsed="false">
      <c r="C113" s="0" t="s">
        <v>20</v>
      </c>
      <c r="F113" s="6" t="n">
        <v>0</v>
      </c>
      <c r="G113" s="6" t="n">
        <v>0</v>
      </c>
      <c r="H113" s="6" t="n">
        <v>0</v>
      </c>
      <c r="I113" s="6" t="n">
        <v>0</v>
      </c>
      <c r="J113" s="6" t="n">
        <v>0</v>
      </c>
      <c r="K113" s="6" t="n">
        <v>0</v>
      </c>
      <c r="L113" s="6" t="n">
        <v>0</v>
      </c>
      <c r="M113" s="6" t="n">
        <v>0</v>
      </c>
      <c r="N113" s="6" t="n">
        <v>0</v>
      </c>
      <c r="O113" s="6" t="n">
        <v>0</v>
      </c>
      <c r="P113" s="6" t="n">
        <v>0</v>
      </c>
      <c r="Q113" s="6" t="n">
        <v>0</v>
      </c>
      <c r="R113" s="6" t="n">
        <v>0</v>
      </c>
      <c r="S113" s="6" t="n">
        <v>0</v>
      </c>
      <c r="T113" s="6" t="n">
        <v>0</v>
      </c>
    </row>
    <row r="114" customFormat="false" ht="12.75" hidden="false" customHeight="false" outlineLevel="0" collapsed="false">
      <c r="C114" s="0" t="s">
        <v>22</v>
      </c>
      <c r="F114" s="4" t="s">
        <v>42</v>
      </c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customFormat="false" ht="12.75" hidden="false" customHeight="false" outlineLevel="0" collapsed="false"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customFormat="false" ht="12.75" hidden="false" customHeight="false" outlineLevel="0" collapsed="false">
      <c r="B116" s="1" t="s">
        <v>40</v>
      </c>
      <c r="C116" s="1" t="s">
        <v>43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customFormat="false" ht="12.75" hidden="false" customHeight="false" outlineLevel="0" collapsed="false">
      <c r="D117" s="0" t="s">
        <v>17</v>
      </c>
      <c r="F117" s="4" t="n">
        <f aca="false">$F$17+$F$18</f>
        <v>0.2275</v>
      </c>
      <c r="G117" s="4" t="n">
        <f aca="false">$G$17+$G$18</f>
        <v>0.2275</v>
      </c>
      <c r="H117" s="4" t="n">
        <f aca="false">$H$17+$H$18</f>
        <v>0.1975</v>
      </c>
      <c r="I117" s="4" t="n">
        <f aca="false">$I$17+$I$18</f>
        <v>0.1575</v>
      </c>
      <c r="J117" s="4" t="n">
        <f aca="false">$J$17+$J$18</f>
        <v>0.1175</v>
      </c>
      <c r="K117" s="4" t="n">
        <f aca="false">$K$17+$K$18</f>
        <v>0.1175</v>
      </c>
      <c r="L117" s="4" t="n">
        <f aca="false">$L$17+$L$18</f>
        <v>0.1175</v>
      </c>
      <c r="M117" s="4" t="n">
        <f aca="false">$M$17+$M$18</f>
        <v>0.1175</v>
      </c>
      <c r="N117" s="4" t="n">
        <f aca="false">$N$17+$N$18</f>
        <v>0.1175</v>
      </c>
      <c r="O117" s="4" t="n">
        <f aca="false">$O$17+$O$18</f>
        <v>0.1575</v>
      </c>
      <c r="P117" s="4" t="n">
        <f aca="false">$P$17+$P$18</f>
        <v>0.2025</v>
      </c>
      <c r="Q117" s="4" t="n">
        <f aca="false">$Q$17+$Q$18</f>
        <v>0.2125</v>
      </c>
      <c r="R117" s="4" t="n">
        <f aca="false">$R$17+$R$18</f>
        <v>0.2325</v>
      </c>
      <c r="S117" s="4" t="n">
        <f aca="false">$S$17+$S$18</f>
        <v>0.2325</v>
      </c>
      <c r="T117" s="4" t="n">
        <f aca="false">$T$17+$T$18</f>
        <v>0.2025</v>
      </c>
    </row>
    <row r="118" customFormat="false" ht="12.75" hidden="false" customHeight="false" outlineLevel="0" collapsed="false">
      <c r="D118" s="0" t="s">
        <v>18</v>
      </c>
      <c r="F118" s="4" t="n">
        <f aca="false">$F$17+$F$18</f>
        <v>0.2275</v>
      </c>
      <c r="G118" s="4" t="n">
        <f aca="false">$G$17+$G$18</f>
        <v>0.2275</v>
      </c>
      <c r="H118" s="4" t="n">
        <f aca="false">$H$17+$H$18</f>
        <v>0.1975</v>
      </c>
      <c r="I118" s="4" t="n">
        <f aca="false">$I$17+$I$18</f>
        <v>0.1575</v>
      </c>
      <c r="J118" s="4" t="n">
        <f aca="false">$J$17+$J$18</f>
        <v>0.1175</v>
      </c>
      <c r="K118" s="4" t="n">
        <f aca="false">$K$17+$K$18</f>
        <v>0.1175</v>
      </c>
      <c r="L118" s="4" t="n">
        <f aca="false">$L$17+$L$18</f>
        <v>0.1175</v>
      </c>
      <c r="M118" s="4" t="n">
        <f aca="false">$M$17+$M$18</f>
        <v>0.1175</v>
      </c>
      <c r="N118" s="4" t="n">
        <f aca="false">$N$17+$N$18</f>
        <v>0.1175</v>
      </c>
      <c r="O118" s="4" t="n">
        <f aca="false">$O$17+$O$18</f>
        <v>0.1575</v>
      </c>
      <c r="P118" s="4" t="n">
        <f aca="false">$P$17+$P$18</f>
        <v>0.2025</v>
      </c>
      <c r="Q118" s="4" t="n">
        <f aca="false">$Q$17+$Q$18</f>
        <v>0.2125</v>
      </c>
      <c r="R118" s="4" t="n">
        <f aca="false">$R$17+$R$18</f>
        <v>0.2325</v>
      </c>
      <c r="S118" s="4" t="n">
        <f aca="false">$S$17+$S$18</f>
        <v>0.2325</v>
      </c>
      <c r="T118" s="4" t="n">
        <f aca="false">$T$17+$T$18</f>
        <v>0.2025</v>
      </c>
    </row>
    <row r="119" customFormat="false" ht="12.75" hidden="false" customHeight="false" outlineLevel="0" collapsed="false"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customFormat="false" ht="12.75" hidden="false" customHeight="false" outlineLevel="0" collapsed="false">
      <c r="C120" s="0" t="s">
        <v>19</v>
      </c>
      <c r="F120" s="6" t="n">
        <v>0</v>
      </c>
      <c r="G120" s="6" t="n">
        <v>0</v>
      </c>
      <c r="H120" s="6" t="n">
        <v>0</v>
      </c>
      <c r="I120" s="6" t="n">
        <v>0</v>
      </c>
      <c r="J120" s="6" t="n">
        <v>0</v>
      </c>
      <c r="K120" s="6" t="n">
        <v>0</v>
      </c>
      <c r="L120" s="6" t="n">
        <v>0</v>
      </c>
      <c r="M120" s="6" t="n">
        <v>0</v>
      </c>
      <c r="N120" s="6" t="n">
        <v>0</v>
      </c>
      <c r="O120" s="6" t="n">
        <v>0</v>
      </c>
      <c r="P120" s="6" t="n">
        <v>0</v>
      </c>
      <c r="Q120" s="6" t="n">
        <v>0</v>
      </c>
      <c r="R120" s="6" t="n">
        <v>0</v>
      </c>
      <c r="S120" s="6" t="n">
        <v>0</v>
      </c>
      <c r="T120" s="6" t="n">
        <v>0</v>
      </c>
    </row>
    <row r="121" customFormat="false" ht="12.75" hidden="false" customHeight="false" outlineLevel="0" collapsed="false">
      <c r="C121" s="0" t="s">
        <v>20</v>
      </c>
      <c r="F121" s="6" t="n">
        <v>0</v>
      </c>
      <c r="G121" s="6" t="n">
        <v>0</v>
      </c>
      <c r="H121" s="6" t="n">
        <v>0</v>
      </c>
      <c r="I121" s="6" t="n">
        <v>0</v>
      </c>
      <c r="J121" s="6" t="n">
        <v>0</v>
      </c>
      <c r="K121" s="6" t="n">
        <v>0</v>
      </c>
      <c r="L121" s="6" t="n">
        <v>0</v>
      </c>
      <c r="M121" s="6" t="n">
        <v>0</v>
      </c>
      <c r="N121" s="6" t="n">
        <v>0</v>
      </c>
      <c r="O121" s="6" t="n">
        <v>0</v>
      </c>
      <c r="P121" s="6" t="n">
        <v>0</v>
      </c>
      <c r="Q121" s="6" t="n">
        <v>0</v>
      </c>
      <c r="R121" s="6" t="n">
        <v>0</v>
      </c>
      <c r="S121" s="6" t="n">
        <v>0</v>
      </c>
      <c r="T121" s="6" t="n">
        <v>0</v>
      </c>
    </row>
    <row r="122" customFormat="false" ht="12.75" hidden="false" customHeight="false" outlineLevel="0" collapsed="false">
      <c r="C122" s="0" t="s">
        <v>21</v>
      </c>
      <c r="F122" s="6" t="n">
        <v>0</v>
      </c>
      <c r="G122" s="6" t="n">
        <v>0</v>
      </c>
      <c r="H122" s="6" t="n">
        <v>0</v>
      </c>
      <c r="I122" s="6" t="n">
        <v>0</v>
      </c>
      <c r="J122" s="6" t="n">
        <v>0</v>
      </c>
      <c r="K122" s="6" t="n">
        <v>0</v>
      </c>
      <c r="L122" s="6" t="n">
        <v>0</v>
      </c>
      <c r="M122" s="6" t="n">
        <v>0</v>
      </c>
      <c r="N122" s="6" t="n">
        <v>0</v>
      </c>
      <c r="O122" s="6" t="n">
        <v>0</v>
      </c>
      <c r="P122" s="6" t="n">
        <v>0</v>
      </c>
      <c r="Q122" s="6" t="n">
        <v>0</v>
      </c>
      <c r="R122" s="6" t="n">
        <v>0</v>
      </c>
      <c r="S122" s="6" t="n">
        <v>0</v>
      </c>
      <c r="T122" s="6" t="n">
        <v>0</v>
      </c>
    </row>
    <row r="123" customFormat="false" ht="12.75" hidden="false" customHeight="false" outlineLevel="0" collapsed="false">
      <c r="C123" s="0" t="s">
        <v>20</v>
      </c>
      <c r="F123" s="6" t="n">
        <v>0</v>
      </c>
      <c r="G123" s="6" t="n">
        <v>0</v>
      </c>
      <c r="H123" s="6" t="n">
        <v>0</v>
      </c>
      <c r="I123" s="6" t="n">
        <v>0</v>
      </c>
      <c r="J123" s="6" t="n">
        <v>0</v>
      </c>
      <c r="K123" s="6" t="n">
        <v>0</v>
      </c>
      <c r="L123" s="6" t="n">
        <v>0</v>
      </c>
      <c r="M123" s="6" t="n">
        <v>0</v>
      </c>
      <c r="N123" s="6" t="n">
        <v>0</v>
      </c>
      <c r="O123" s="6" t="n">
        <v>0</v>
      </c>
      <c r="P123" s="6" t="n">
        <v>0</v>
      </c>
      <c r="Q123" s="6" t="n">
        <v>0</v>
      </c>
      <c r="R123" s="6" t="n">
        <v>0</v>
      </c>
      <c r="S123" s="6" t="n">
        <v>0</v>
      </c>
      <c r="T123" s="6" t="n">
        <v>0</v>
      </c>
    </row>
    <row r="124" customFormat="false" ht="12.75" hidden="false" customHeight="false" outlineLevel="0" collapsed="false">
      <c r="C124" s="0" t="s">
        <v>22</v>
      </c>
      <c r="F124" s="4" t="s">
        <v>44</v>
      </c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customFormat="false" ht="12.75" hidden="false" customHeight="false" outlineLevel="0" collapsed="false"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customFormat="false" ht="12.75" hidden="false" customHeight="false" outlineLevel="0" collapsed="false">
      <c r="B126" s="1" t="s">
        <v>40</v>
      </c>
      <c r="C126" s="1" t="s">
        <v>45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customFormat="false" ht="12.75" hidden="false" customHeight="false" outlineLevel="0" collapsed="false">
      <c r="D127" s="0" t="s">
        <v>17</v>
      </c>
      <c r="F127" s="4" t="n">
        <f aca="false">$F$17+$F$18</f>
        <v>0.2275</v>
      </c>
      <c r="G127" s="4" t="n">
        <f aca="false">$G$17+$G$18</f>
        <v>0.2275</v>
      </c>
      <c r="H127" s="4" t="n">
        <f aca="false">$H$17+$H$18</f>
        <v>0.1975</v>
      </c>
      <c r="I127" s="4" t="n">
        <f aca="false">$I$17+$I$18</f>
        <v>0.1575</v>
      </c>
      <c r="J127" s="4" t="n">
        <f aca="false">$J$17+$J$18</f>
        <v>0.1175</v>
      </c>
      <c r="K127" s="4" t="n">
        <f aca="false">$K$17+$K$18</f>
        <v>0.1175</v>
      </c>
      <c r="L127" s="4" t="n">
        <f aca="false">$L$17+$L$18</f>
        <v>0.1175</v>
      </c>
      <c r="M127" s="4" t="n">
        <f aca="false">$M$17+$M$18</f>
        <v>0.1175</v>
      </c>
      <c r="N127" s="4" t="n">
        <f aca="false">$N$17+$N$18</f>
        <v>0.1175</v>
      </c>
      <c r="O127" s="4" t="n">
        <f aca="false">$O$17+$O$18</f>
        <v>0.1575</v>
      </c>
      <c r="P127" s="4" t="n">
        <f aca="false">$P$17+$P$18</f>
        <v>0.2025</v>
      </c>
      <c r="Q127" s="4" t="n">
        <f aca="false">$Q$17+$Q$18</f>
        <v>0.2125</v>
      </c>
      <c r="R127" s="4" t="n">
        <f aca="false">$R$17+$R$18</f>
        <v>0.2325</v>
      </c>
      <c r="S127" s="4" t="n">
        <f aca="false">$S$17+$S$18</f>
        <v>0.2325</v>
      </c>
      <c r="T127" s="4" t="n">
        <f aca="false">$T$17+$T$18</f>
        <v>0.2025</v>
      </c>
    </row>
    <row r="128" customFormat="false" ht="12.75" hidden="false" customHeight="false" outlineLevel="0" collapsed="false">
      <c r="D128" s="0" t="s">
        <v>18</v>
      </c>
      <c r="F128" s="4" t="n">
        <f aca="false">$F$17+$F$18</f>
        <v>0.2275</v>
      </c>
      <c r="G128" s="4" t="n">
        <f aca="false">$G$17+$G$18</f>
        <v>0.2275</v>
      </c>
      <c r="H128" s="4" t="n">
        <f aca="false">$H$17+$H$18</f>
        <v>0.1975</v>
      </c>
      <c r="I128" s="4" t="n">
        <f aca="false">$I$17+$I$18</f>
        <v>0.1575</v>
      </c>
      <c r="J128" s="4" t="n">
        <f aca="false">$J$17+$J$18</f>
        <v>0.1175</v>
      </c>
      <c r="K128" s="4" t="n">
        <f aca="false">$K$17+$K$18</f>
        <v>0.1175</v>
      </c>
      <c r="L128" s="4" t="n">
        <f aca="false">$L$17+$L$18</f>
        <v>0.1175</v>
      </c>
      <c r="M128" s="4" t="n">
        <f aca="false">$M$17+$M$18</f>
        <v>0.1175</v>
      </c>
      <c r="N128" s="4" t="n">
        <f aca="false">$N$17+$N$18</f>
        <v>0.1175</v>
      </c>
      <c r="O128" s="4" t="n">
        <f aca="false">$O$17+$O$18</f>
        <v>0.1575</v>
      </c>
      <c r="P128" s="4" t="n">
        <f aca="false">$P$17+$P$18</f>
        <v>0.2025</v>
      </c>
      <c r="Q128" s="4" t="n">
        <f aca="false">$Q$17+$Q$18</f>
        <v>0.2125</v>
      </c>
      <c r="R128" s="4" t="n">
        <f aca="false">$R$17+$R$18</f>
        <v>0.2325</v>
      </c>
      <c r="S128" s="4" t="n">
        <f aca="false">$S$17+$S$18</f>
        <v>0.2325</v>
      </c>
      <c r="T128" s="4" t="n">
        <f aca="false">$T$17+$T$18</f>
        <v>0.2025</v>
      </c>
    </row>
    <row r="129" customFormat="false" ht="12.75" hidden="false" customHeight="false" outlineLevel="0" collapsed="false"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customFormat="false" ht="12.75" hidden="false" customHeight="false" outlineLevel="0" collapsed="false">
      <c r="C130" s="0" t="s">
        <v>19</v>
      </c>
      <c r="F130" s="6" t="n">
        <v>0</v>
      </c>
      <c r="G130" s="6" t="n">
        <v>0</v>
      </c>
      <c r="H130" s="6" t="n">
        <v>0</v>
      </c>
      <c r="I130" s="6" t="n">
        <v>0</v>
      </c>
      <c r="J130" s="6" t="n">
        <v>0</v>
      </c>
      <c r="K130" s="6" t="n">
        <v>0</v>
      </c>
      <c r="L130" s="6" t="n">
        <v>0</v>
      </c>
      <c r="M130" s="6" t="n">
        <v>0</v>
      </c>
      <c r="N130" s="6" t="n">
        <v>0</v>
      </c>
      <c r="O130" s="6" t="n">
        <v>0</v>
      </c>
      <c r="P130" s="6" t="n">
        <v>0</v>
      </c>
      <c r="Q130" s="6" t="n">
        <v>0</v>
      </c>
      <c r="R130" s="6" t="n">
        <v>0</v>
      </c>
      <c r="S130" s="6" t="n">
        <v>0</v>
      </c>
      <c r="T130" s="6" t="n">
        <v>0</v>
      </c>
    </row>
    <row r="131" customFormat="false" ht="12.75" hidden="false" customHeight="false" outlineLevel="0" collapsed="false">
      <c r="C131" s="0" t="s">
        <v>20</v>
      </c>
      <c r="F131" s="6" t="n">
        <v>0</v>
      </c>
      <c r="G131" s="6" t="n">
        <v>0</v>
      </c>
      <c r="H131" s="6" t="n">
        <v>0</v>
      </c>
      <c r="I131" s="6" t="n">
        <v>0</v>
      </c>
      <c r="J131" s="6" t="n">
        <v>0</v>
      </c>
      <c r="K131" s="6" t="n">
        <v>0</v>
      </c>
      <c r="L131" s="6" t="n">
        <v>0</v>
      </c>
      <c r="M131" s="6" t="n">
        <v>0</v>
      </c>
      <c r="N131" s="6" t="n">
        <v>0</v>
      </c>
      <c r="O131" s="6" t="n">
        <v>0</v>
      </c>
      <c r="P131" s="6" t="n">
        <v>0</v>
      </c>
      <c r="Q131" s="6" t="n">
        <v>0</v>
      </c>
      <c r="R131" s="6" t="n">
        <v>0</v>
      </c>
      <c r="S131" s="6" t="n">
        <v>0</v>
      </c>
      <c r="T131" s="6" t="n">
        <v>0</v>
      </c>
    </row>
    <row r="132" customFormat="false" ht="12.75" hidden="false" customHeight="false" outlineLevel="0" collapsed="false">
      <c r="C132" s="0" t="s">
        <v>21</v>
      </c>
      <c r="F132" s="6" t="n">
        <v>0</v>
      </c>
      <c r="G132" s="6" t="n">
        <v>0</v>
      </c>
      <c r="H132" s="6" t="n">
        <v>0</v>
      </c>
      <c r="I132" s="6" t="n">
        <v>0</v>
      </c>
      <c r="J132" s="6" t="n">
        <v>0</v>
      </c>
      <c r="K132" s="6" t="n">
        <v>0</v>
      </c>
      <c r="L132" s="6" t="n">
        <v>0</v>
      </c>
      <c r="M132" s="6" t="n">
        <v>0</v>
      </c>
      <c r="N132" s="6" t="n">
        <v>0</v>
      </c>
      <c r="O132" s="6" t="n">
        <v>0</v>
      </c>
      <c r="P132" s="6" t="n">
        <v>0</v>
      </c>
      <c r="Q132" s="6" t="n">
        <v>0</v>
      </c>
      <c r="R132" s="6" t="n">
        <v>0</v>
      </c>
      <c r="S132" s="6" t="n">
        <v>0</v>
      </c>
      <c r="T132" s="6" t="n">
        <v>0</v>
      </c>
    </row>
    <row r="133" customFormat="false" ht="12.75" hidden="false" customHeight="false" outlineLevel="0" collapsed="false">
      <c r="C133" s="0" t="s">
        <v>20</v>
      </c>
      <c r="F133" s="6" t="n">
        <v>0</v>
      </c>
      <c r="G133" s="6" t="n">
        <v>0</v>
      </c>
      <c r="H133" s="6" t="n">
        <v>0</v>
      </c>
      <c r="I133" s="6" t="n">
        <v>0</v>
      </c>
      <c r="J133" s="6" t="n">
        <v>0</v>
      </c>
      <c r="K133" s="6" t="n">
        <v>0</v>
      </c>
      <c r="L133" s="6" t="n">
        <v>0</v>
      </c>
      <c r="M133" s="6" t="n">
        <v>0</v>
      </c>
      <c r="N133" s="6" t="n">
        <v>0</v>
      </c>
      <c r="O133" s="6" t="n">
        <v>0</v>
      </c>
      <c r="P133" s="6" t="n">
        <v>0</v>
      </c>
      <c r="Q133" s="6" t="n">
        <v>0</v>
      </c>
      <c r="R133" s="6" t="n">
        <v>0</v>
      </c>
      <c r="S133" s="6" t="n">
        <v>0</v>
      </c>
      <c r="T133" s="6" t="n">
        <v>0</v>
      </c>
    </row>
    <row r="134" customFormat="false" ht="12.75" hidden="false" customHeight="false" outlineLevel="0" collapsed="false">
      <c r="C134" s="0" t="s">
        <v>22</v>
      </c>
      <c r="F134" s="4" t="s">
        <v>46</v>
      </c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customFormat="false" ht="12.75" hidden="false" customHeight="false" outlineLevel="0" collapsed="false"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customFormat="false" ht="12.75" hidden="false" customHeight="false" outlineLevel="0" collapsed="false">
      <c r="B136" s="1" t="s">
        <v>40</v>
      </c>
      <c r="C136" s="1" t="s">
        <v>47</v>
      </c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customFormat="false" ht="12.75" hidden="false" customHeight="false" outlineLevel="0" collapsed="false">
      <c r="D137" s="0" t="s">
        <v>17</v>
      </c>
      <c r="F137" s="4" t="n">
        <f aca="false">$F$17+$F$18</f>
        <v>0.2275</v>
      </c>
      <c r="G137" s="4" t="n">
        <f aca="false">$G$17+$G$18</f>
        <v>0.2275</v>
      </c>
      <c r="H137" s="4" t="n">
        <f aca="false">$H$17+$H$18</f>
        <v>0.1975</v>
      </c>
      <c r="I137" s="4" t="n">
        <f aca="false">$I$17+$I$18</f>
        <v>0.1575</v>
      </c>
      <c r="J137" s="4" t="n">
        <f aca="false">$J$17+$J$18</f>
        <v>0.1175</v>
      </c>
      <c r="K137" s="4" t="n">
        <f aca="false">$K$17+$K$18</f>
        <v>0.1175</v>
      </c>
      <c r="L137" s="4" t="n">
        <f aca="false">$L$17+$L$18</f>
        <v>0.1175</v>
      </c>
      <c r="M137" s="4" t="n">
        <f aca="false">$M$17+$M$18</f>
        <v>0.1175</v>
      </c>
      <c r="N137" s="4" t="n">
        <f aca="false">$N$17+$N$18</f>
        <v>0.1175</v>
      </c>
      <c r="O137" s="4" t="n">
        <f aca="false">$O$17+$O$18</f>
        <v>0.1575</v>
      </c>
      <c r="P137" s="4" t="n">
        <f aca="false">$P$17+$P$18</f>
        <v>0.2025</v>
      </c>
      <c r="Q137" s="4" t="n">
        <f aca="false">$Q$17+$Q$18</f>
        <v>0.2125</v>
      </c>
      <c r="R137" s="4" t="n">
        <f aca="false">$R$17+$R$18</f>
        <v>0.2325</v>
      </c>
      <c r="S137" s="4" t="n">
        <f aca="false">$S$17+$S$18</f>
        <v>0.2325</v>
      </c>
      <c r="T137" s="4" t="n">
        <f aca="false">$T$17+$T$18</f>
        <v>0.2025</v>
      </c>
    </row>
    <row r="138" customFormat="false" ht="12.75" hidden="false" customHeight="false" outlineLevel="0" collapsed="false">
      <c r="D138" s="0" t="s">
        <v>18</v>
      </c>
      <c r="F138" s="4" t="n">
        <f aca="false">$F$17+$F$18</f>
        <v>0.2275</v>
      </c>
      <c r="G138" s="4" t="n">
        <f aca="false">$G$17+$G$18</f>
        <v>0.2275</v>
      </c>
      <c r="H138" s="4" t="n">
        <f aca="false">$H$17+$H$18</f>
        <v>0.1975</v>
      </c>
      <c r="I138" s="4" t="n">
        <f aca="false">$I$17+$I$18</f>
        <v>0.1575</v>
      </c>
      <c r="J138" s="4" t="n">
        <f aca="false">$J$17+$J$18</f>
        <v>0.1175</v>
      </c>
      <c r="K138" s="4" t="n">
        <f aca="false">$K$17+$K$18</f>
        <v>0.1175</v>
      </c>
      <c r="L138" s="4" t="n">
        <f aca="false">$L$17+$L$18</f>
        <v>0.1175</v>
      </c>
      <c r="M138" s="4" t="n">
        <f aca="false">$M$17+$M$18</f>
        <v>0.1175</v>
      </c>
      <c r="N138" s="4" t="n">
        <f aca="false">$N$17+$N$18</f>
        <v>0.1175</v>
      </c>
      <c r="O138" s="4" t="n">
        <f aca="false">$O$17+$O$18</f>
        <v>0.1575</v>
      </c>
      <c r="P138" s="4" t="n">
        <f aca="false">$P$17+$P$18</f>
        <v>0.2025</v>
      </c>
      <c r="Q138" s="4" t="n">
        <f aca="false">$Q$17+$Q$18</f>
        <v>0.2125</v>
      </c>
      <c r="R138" s="4" t="n">
        <f aca="false">$R$17+$R$18</f>
        <v>0.2325</v>
      </c>
      <c r="S138" s="4" t="n">
        <f aca="false">$S$17+$S$18</f>
        <v>0.2325</v>
      </c>
      <c r="T138" s="4" t="n">
        <f aca="false">$T$17+$T$18</f>
        <v>0.2025</v>
      </c>
    </row>
    <row r="139" customFormat="false" ht="12.75" hidden="false" customHeight="false" outlineLevel="0" collapsed="false"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customFormat="false" ht="12.75" hidden="false" customHeight="false" outlineLevel="0" collapsed="false">
      <c r="C140" s="0" t="s">
        <v>19</v>
      </c>
      <c r="F140" s="6" t="n">
        <v>0</v>
      </c>
      <c r="G140" s="6" t="n">
        <v>0</v>
      </c>
      <c r="H140" s="6" t="n">
        <v>0</v>
      </c>
      <c r="I140" s="6" t="n">
        <v>0</v>
      </c>
      <c r="J140" s="6" t="n">
        <v>0</v>
      </c>
      <c r="K140" s="6" t="n">
        <v>0</v>
      </c>
      <c r="L140" s="6" t="n">
        <v>0</v>
      </c>
      <c r="M140" s="6" t="n">
        <v>0</v>
      </c>
      <c r="N140" s="6" t="n">
        <v>0</v>
      </c>
      <c r="O140" s="6" t="n">
        <v>0</v>
      </c>
      <c r="P140" s="6" t="n">
        <v>0</v>
      </c>
      <c r="Q140" s="6" t="n">
        <v>0</v>
      </c>
      <c r="R140" s="6" t="n">
        <v>0</v>
      </c>
      <c r="S140" s="6" t="n">
        <v>0</v>
      </c>
      <c r="T140" s="6" t="n">
        <v>0</v>
      </c>
    </row>
    <row r="141" customFormat="false" ht="12.75" hidden="false" customHeight="false" outlineLevel="0" collapsed="false">
      <c r="C141" s="0" t="s">
        <v>20</v>
      </c>
      <c r="F141" s="6" t="n">
        <v>0</v>
      </c>
      <c r="G141" s="6" t="n">
        <v>0</v>
      </c>
      <c r="H141" s="6" t="n">
        <v>0</v>
      </c>
      <c r="I141" s="6" t="n">
        <v>0</v>
      </c>
      <c r="J141" s="6" t="n">
        <v>0</v>
      </c>
      <c r="K141" s="6" t="n">
        <v>0</v>
      </c>
      <c r="L141" s="6" t="n">
        <v>0</v>
      </c>
      <c r="M141" s="6" t="n">
        <v>0</v>
      </c>
      <c r="N141" s="6" t="n">
        <v>0</v>
      </c>
      <c r="O141" s="6" t="n">
        <v>0</v>
      </c>
      <c r="P141" s="6" t="n">
        <v>0</v>
      </c>
      <c r="Q141" s="6" t="n">
        <v>0</v>
      </c>
      <c r="R141" s="6" t="n">
        <v>0</v>
      </c>
      <c r="S141" s="6" t="n">
        <v>0</v>
      </c>
      <c r="T141" s="6" t="n">
        <v>0</v>
      </c>
    </row>
    <row r="142" customFormat="false" ht="12.75" hidden="false" customHeight="false" outlineLevel="0" collapsed="false">
      <c r="C142" s="0" t="s">
        <v>21</v>
      </c>
      <c r="F142" s="6" t="n">
        <v>0</v>
      </c>
      <c r="G142" s="6" t="n">
        <v>0</v>
      </c>
      <c r="H142" s="6" t="n">
        <v>0</v>
      </c>
      <c r="I142" s="6" t="n">
        <v>0</v>
      </c>
      <c r="J142" s="6" t="n">
        <v>0</v>
      </c>
      <c r="K142" s="6" t="n">
        <v>0</v>
      </c>
      <c r="L142" s="6" t="n">
        <v>0</v>
      </c>
      <c r="M142" s="6" t="n">
        <v>0</v>
      </c>
      <c r="N142" s="6" t="n">
        <v>0</v>
      </c>
      <c r="O142" s="6" t="n">
        <v>0</v>
      </c>
      <c r="P142" s="6" t="n">
        <v>0</v>
      </c>
      <c r="Q142" s="6" t="n">
        <v>0</v>
      </c>
      <c r="R142" s="6" t="n">
        <v>0</v>
      </c>
      <c r="S142" s="6" t="n">
        <v>0</v>
      </c>
      <c r="T142" s="6" t="n">
        <v>0</v>
      </c>
    </row>
    <row r="143" customFormat="false" ht="12.75" hidden="false" customHeight="false" outlineLevel="0" collapsed="false">
      <c r="C143" s="0" t="s">
        <v>20</v>
      </c>
      <c r="F143" s="6" t="n">
        <v>0</v>
      </c>
      <c r="G143" s="6" t="n">
        <v>0</v>
      </c>
      <c r="H143" s="6" t="n">
        <v>0</v>
      </c>
      <c r="I143" s="6" t="n">
        <v>0</v>
      </c>
      <c r="J143" s="6" t="n">
        <v>0</v>
      </c>
      <c r="K143" s="6" t="n">
        <v>0</v>
      </c>
      <c r="L143" s="6" t="n">
        <v>0</v>
      </c>
      <c r="M143" s="6" t="n">
        <v>0</v>
      </c>
      <c r="N143" s="6" t="n">
        <v>0</v>
      </c>
      <c r="O143" s="6" t="n">
        <v>0</v>
      </c>
      <c r="P143" s="6" t="n">
        <v>0</v>
      </c>
      <c r="Q143" s="6" t="n">
        <v>0</v>
      </c>
      <c r="R143" s="6" t="n">
        <v>0</v>
      </c>
      <c r="S143" s="6" t="n">
        <v>0</v>
      </c>
      <c r="T143" s="6" t="n">
        <v>0</v>
      </c>
    </row>
    <row r="144" customFormat="false" ht="12.75" hidden="false" customHeight="false" outlineLevel="0" collapsed="false">
      <c r="C144" s="0" t="s">
        <v>22</v>
      </c>
      <c r="F144" s="4" t="s">
        <v>48</v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customFormat="false" ht="12.75" hidden="false" customHeight="false" outlineLevel="0" collapsed="false"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customFormat="false" ht="12.75" hidden="false" customHeight="false" outlineLevel="0" collapsed="false">
      <c r="B146" s="1" t="s">
        <v>40</v>
      </c>
      <c r="C146" s="1" t="s">
        <v>49</v>
      </c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customFormat="false" ht="12.75" hidden="false" customHeight="false" outlineLevel="0" collapsed="false">
      <c r="D147" s="0" t="s">
        <v>17</v>
      </c>
      <c r="F147" s="4" t="n">
        <f aca="false">$F$17+$F$18</f>
        <v>0.2275</v>
      </c>
      <c r="G147" s="4" t="n">
        <f aca="false">$G$17+$G$18</f>
        <v>0.2275</v>
      </c>
      <c r="H147" s="4" t="n">
        <f aca="false">$H$17+$H$18</f>
        <v>0.1975</v>
      </c>
      <c r="I147" s="4" t="n">
        <f aca="false">$I$17+$I$18</f>
        <v>0.1575</v>
      </c>
      <c r="J147" s="4" t="n">
        <f aca="false">$J$17+$J$18</f>
        <v>0.1175</v>
      </c>
      <c r="K147" s="4" t="n">
        <f aca="false">$K$17+$K$18</f>
        <v>0.1175</v>
      </c>
      <c r="L147" s="4" t="n">
        <f aca="false">$L$17+$L$18</f>
        <v>0.1175</v>
      </c>
      <c r="M147" s="4" t="n">
        <f aca="false">$M$17+$M$18</f>
        <v>0.1175</v>
      </c>
      <c r="N147" s="4" t="n">
        <f aca="false">$N$17+$N$18</f>
        <v>0.1175</v>
      </c>
      <c r="O147" s="4" t="n">
        <f aca="false">$O$17+$O$18</f>
        <v>0.1575</v>
      </c>
      <c r="P147" s="4" t="n">
        <f aca="false">$P$17+$P$18</f>
        <v>0.2025</v>
      </c>
      <c r="Q147" s="4" t="n">
        <f aca="false">$Q$17+$Q$18</f>
        <v>0.2125</v>
      </c>
      <c r="R147" s="4" t="n">
        <f aca="false">$R$17+$R$18</f>
        <v>0.2325</v>
      </c>
      <c r="S147" s="4" t="n">
        <f aca="false">$S$17+$S$18</f>
        <v>0.2325</v>
      </c>
      <c r="T147" s="4" t="n">
        <f aca="false">$T$17+$T$18</f>
        <v>0.2025</v>
      </c>
    </row>
    <row r="148" customFormat="false" ht="12.75" hidden="false" customHeight="false" outlineLevel="0" collapsed="false">
      <c r="D148" s="0" t="s">
        <v>18</v>
      </c>
      <c r="F148" s="4" t="n">
        <f aca="false">$F$17+$F$18</f>
        <v>0.2275</v>
      </c>
      <c r="G148" s="4" t="n">
        <f aca="false">$G$17+$G$18</f>
        <v>0.2275</v>
      </c>
      <c r="H148" s="4" t="n">
        <f aca="false">$H$17+$H$18</f>
        <v>0.1975</v>
      </c>
      <c r="I148" s="4" t="n">
        <f aca="false">$I$17+$I$18</f>
        <v>0.1575</v>
      </c>
      <c r="J148" s="4" t="n">
        <f aca="false">$J$17+$J$18</f>
        <v>0.1175</v>
      </c>
      <c r="K148" s="4" t="n">
        <f aca="false">$K$17+$K$18</f>
        <v>0.1175</v>
      </c>
      <c r="L148" s="4" t="n">
        <f aca="false">$L$17+$L$18</f>
        <v>0.1175</v>
      </c>
      <c r="M148" s="4" t="n">
        <f aca="false">$M$17+$M$18</f>
        <v>0.1175</v>
      </c>
      <c r="N148" s="4" t="n">
        <f aca="false">$N$17+$N$18</f>
        <v>0.1175</v>
      </c>
      <c r="O148" s="4" t="n">
        <f aca="false">$O$17+$O$18</f>
        <v>0.1575</v>
      </c>
      <c r="P148" s="4" t="n">
        <f aca="false">$P$17+$P$18</f>
        <v>0.2025</v>
      </c>
      <c r="Q148" s="4" t="n">
        <f aca="false">$Q$17+$Q$18</f>
        <v>0.2125</v>
      </c>
      <c r="R148" s="4" t="n">
        <f aca="false">$R$17+$R$18</f>
        <v>0.2325</v>
      </c>
      <c r="S148" s="4" t="n">
        <f aca="false">$S$17+$S$18</f>
        <v>0.2325</v>
      </c>
      <c r="T148" s="4" t="n">
        <f aca="false">$T$17+$T$18</f>
        <v>0.2025</v>
      </c>
    </row>
    <row r="149" customFormat="false" ht="12.75" hidden="false" customHeight="false" outlineLevel="0" collapsed="false"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</row>
    <row r="150" customFormat="false" ht="12.75" hidden="true" customHeight="false" outlineLevel="0" collapsed="false">
      <c r="C150" s="0" t="s">
        <v>19</v>
      </c>
      <c r="F150" s="10" t="n">
        <f aca="false">33635+620+79078+162973+165230-111905</f>
        <v>329631</v>
      </c>
      <c r="G150" s="10" t="n">
        <f aca="false">32335+580+73964+152556+145290-97924</f>
        <v>306801</v>
      </c>
      <c r="H150" s="10" t="n">
        <f aca="false">33325+620+78703+156829+153450-111905</f>
        <v>311022</v>
      </c>
      <c r="I150" s="10" t="n">
        <f aca="false">29100+77229+202382+81450-72200</f>
        <v>317961</v>
      </c>
      <c r="J150" s="10" t="n">
        <f aca="false">17391+61380+161124+62620-104974</f>
        <v>197541</v>
      </c>
      <c r="K150" s="10" t="n">
        <f aca="false">11520+59400+158702+59550-72200</f>
        <v>216972</v>
      </c>
      <c r="L150" s="10" t="n">
        <f aca="false">11233+61380+133426+52700-73760</f>
        <v>184979</v>
      </c>
      <c r="M150" s="10" t="n">
        <f aca="false">11233+55180+137704+59210-73760</f>
        <v>189567</v>
      </c>
      <c r="N150" s="10" t="n">
        <f aca="false">12041+59400+137822+61200-72200</f>
        <v>198263</v>
      </c>
      <c r="O150" s="10" t="n">
        <f aca="false">14756+64480+147963+63860-73760</f>
        <v>217299</v>
      </c>
      <c r="P150" s="10" t="n">
        <f aca="false">13950+146723+63860-73760</f>
        <v>150773</v>
      </c>
      <c r="Q150" s="10" t="n">
        <f aca="false">12400+51373</f>
        <v>63773</v>
      </c>
      <c r="R150" s="10" t="n">
        <f aca="false">12400+21923</f>
        <v>34323</v>
      </c>
      <c r="S150" s="10" t="n">
        <f aca="false">11200+19684</f>
        <v>30884</v>
      </c>
      <c r="T150" s="10" t="n">
        <f aca="false">11780+20956</f>
        <v>32736</v>
      </c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</row>
    <row r="151" customFormat="false" ht="12.75" hidden="false" customHeight="false" outlineLevel="0" collapsed="false">
      <c r="A151" s="8"/>
      <c r="B151" s="8"/>
      <c r="C151" s="0" t="s">
        <v>19</v>
      </c>
      <c r="D151" s="8"/>
      <c r="E151" s="8"/>
      <c r="F151" s="10" t="n">
        <f aca="false">F150/31</f>
        <v>10633.2580645161</v>
      </c>
      <c r="G151" s="10" t="n">
        <f aca="false">G150/29</f>
        <v>10579.3448275862</v>
      </c>
      <c r="H151" s="10" t="n">
        <f aca="false">H150/31</f>
        <v>10032.9677419355</v>
      </c>
      <c r="I151" s="10" t="n">
        <f aca="false">I150/30</f>
        <v>10598.7</v>
      </c>
      <c r="J151" s="10" t="n">
        <f aca="false">J150/31</f>
        <v>6372.29032258065</v>
      </c>
      <c r="K151" s="10" t="n">
        <f aca="false">K150/30</f>
        <v>7232.4</v>
      </c>
      <c r="L151" s="10" t="n">
        <f aca="false">L150/31</f>
        <v>5967.06451612903</v>
      </c>
      <c r="M151" s="10" t="n">
        <f aca="false">M150/31</f>
        <v>6115.06451612903</v>
      </c>
      <c r="N151" s="10" t="n">
        <f aca="false">N150/30</f>
        <v>6608.76666666667</v>
      </c>
      <c r="O151" s="10" t="n">
        <f aca="false">O150/31</f>
        <v>7009.64516129032</v>
      </c>
      <c r="P151" s="10" t="n">
        <f aca="false">P150/30</f>
        <v>5025.76666666667</v>
      </c>
      <c r="Q151" s="10" t="n">
        <f aca="false">Q150/31</f>
        <v>2057.1935483871</v>
      </c>
      <c r="R151" s="10" t="n">
        <f aca="false">R150/31</f>
        <v>1107.1935483871</v>
      </c>
      <c r="S151" s="10" t="n">
        <f aca="false">S150/28</f>
        <v>1103</v>
      </c>
      <c r="T151" s="10" t="n">
        <f aca="false">T150/31</f>
        <v>1056</v>
      </c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</row>
    <row r="152" customFormat="false" ht="12.75" hidden="false" customHeight="false" outlineLevel="0" collapsed="false">
      <c r="C152" s="0" t="s">
        <v>20</v>
      </c>
      <c r="F152" s="6" t="n">
        <v>0</v>
      </c>
      <c r="G152" s="6" t="n">
        <v>0</v>
      </c>
      <c r="H152" s="6" t="n">
        <v>0</v>
      </c>
      <c r="I152" s="6" t="n">
        <v>0</v>
      </c>
      <c r="J152" s="6" t="n">
        <v>0</v>
      </c>
      <c r="K152" s="6" t="n">
        <v>0</v>
      </c>
      <c r="L152" s="6" t="n">
        <v>0</v>
      </c>
      <c r="M152" s="6" t="n">
        <v>0</v>
      </c>
      <c r="N152" s="6" t="n">
        <v>0</v>
      </c>
      <c r="O152" s="6" t="n">
        <v>0</v>
      </c>
      <c r="P152" s="6" t="n">
        <v>0</v>
      </c>
      <c r="Q152" s="6" t="n">
        <v>0</v>
      </c>
      <c r="R152" s="6" t="n">
        <v>0</v>
      </c>
      <c r="S152" s="6" t="n">
        <v>0</v>
      </c>
      <c r="T152" s="6" t="n">
        <v>0</v>
      </c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</row>
    <row r="153" customFormat="false" ht="12.75" hidden="true" customHeight="false" outlineLevel="0" collapsed="false">
      <c r="C153" s="0" t="s">
        <v>21</v>
      </c>
      <c r="F153" s="10" t="n">
        <f aca="false">18971+115875+4537+1083</f>
        <v>140466</v>
      </c>
      <c r="G153" s="10" t="n">
        <f aca="false">17163+104521+4537+1079</f>
        <v>127300</v>
      </c>
      <c r="H153" s="10" t="n">
        <f aca="false">17664+115378+4536+1075</f>
        <v>138653</v>
      </c>
      <c r="I153" s="10" t="n">
        <f aca="false">16941+111554+4535+1070</f>
        <v>134100</v>
      </c>
      <c r="J153" s="10" t="n">
        <f aca="false">17137+113656+4535+1066</f>
        <v>136394</v>
      </c>
      <c r="K153" s="10" t="n">
        <f aca="false">16555+109374+141+1061</f>
        <v>127131</v>
      </c>
      <c r="L153" s="10" t="n">
        <f aca="false">17061+112808+140+1056</f>
        <v>131065</v>
      </c>
      <c r="M153" s="10" t="n">
        <f aca="false">16970+112241+140+1052</f>
        <v>130403</v>
      </c>
      <c r="N153" s="10" t="n">
        <f aca="false">16025+108123+139+1047</f>
        <v>125334</v>
      </c>
      <c r="O153" s="10" t="n">
        <f aca="false">16423+111111+139+1043</f>
        <v>128716</v>
      </c>
      <c r="P153" s="10" t="n">
        <f aca="false">15866+107039+138</f>
        <v>123043</v>
      </c>
      <c r="Q153" s="10" t="n">
        <f aca="false">16351+86444</f>
        <v>102795</v>
      </c>
      <c r="R153" s="10" t="n">
        <f aca="false">14849+85603</f>
        <v>100452</v>
      </c>
      <c r="S153" s="10" t="n">
        <f aca="false">12584+76945</f>
        <v>89529</v>
      </c>
      <c r="T153" s="10" t="n">
        <f aca="false">13525+58974</f>
        <v>72499</v>
      </c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</row>
    <row r="154" customFormat="false" ht="12.75" hidden="false" customHeight="false" outlineLevel="0" collapsed="false">
      <c r="A154" s="8"/>
      <c r="B154" s="8"/>
      <c r="C154" s="0" t="s">
        <v>21</v>
      </c>
      <c r="D154" s="8"/>
      <c r="E154" s="8"/>
      <c r="F154" s="10" t="n">
        <f aca="false">F153/31</f>
        <v>4531.16129032258</v>
      </c>
      <c r="G154" s="10" t="n">
        <v>4521</v>
      </c>
      <c r="H154" s="10" t="n">
        <f aca="false">H153/31</f>
        <v>4472.67741935484</v>
      </c>
      <c r="I154" s="10" t="n">
        <f aca="false">I153/30</f>
        <v>4470</v>
      </c>
      <c r="J154" s="10" t="n">
        <f aca="false">J153/31</f>
        <v>4399.8064516129</v>
      </c>
      <c r="K154" s="10" t="n">
        <f aca="false">K153/30</f>
        <v>4237.7</v>
      </c>
      <c r="L154" s="10" t="n">
        <f aca="false">L153/31</f>
        <v>4227.90322580645</v>
      </c>
      <c r="M154" s="10" t="n">
        <f aca="false">M153/31</f>
        <v>4206.54838709678</v>
      </c>
      <c r="N154" s="10" t="n">
        <f aca="false">N153/30</f>
        <v>4177.8</v>
      </c>
      <c r="O154" s="10" t="n">
        <f aca="false">O153/31</f>
        <v>4152.12903225806</v>
      </c>
      <c r="P154" s="10" t="n">
        <f aca="false">P153/30</f>
        <v>4101.43333333333</v>
      </c>
      <c r="Q154" s="10" t="n">
        <v>3320</v>
      </c>
      <c r="R154" s="10" t="n">
        <f aca="false">R153/31</f>
        <v>3240.38709677419</v>
      </c>
      <c r="S154" s="10" t="n">
        <f aca="false">S153/28</f>
        <v>3197.46428571429</v>
      </c>
      <c r="T154" s="10" t="n">
        <f aca="false">T153/31</f>
        <v>2338.67741935484</v>
      </c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</row>
    <row r="155" customFormat="false" ht="12.75" hidden="false" customHeight="false" outlineLevel="0" collapsed="false">
      <c r="C155" s="0" t="s">
        <v>20</v>
      </c>
      <c r="F155" s="6" t="n">
        <v>4617</v>
      </c>
      <c r="G155" s="6" t="n">
        <v>4617</v>
      </c>
      <c r="H155" s="6" t="n">
        <v>4617</v>
      </c>
      <c r="I155" s="6" t="n">
        <v>4603</v>
      </c>
      <c r="J155" s="6" t="n">
        <v>4603</v>
      </c>
      <c r="K155" s="6" t="n">
        <v>4511</v>
      </c>
      <c r="L155" s="6" t="n">
        <v>4511</v>
      </c>
      <c r="M155" s="6" t="n">
        <v>4510</v>
      </c>
      <c r="N155" s="6" t="n">
        <v>4476</v>
      </c>
      <c r="O155" s="6" t="n">
        <v>4466</v>
      </c>
      <c r="P155" s="6" t="n">
        <v>0</v>
      </c>
      <c r="Q155" s="6" t="n">
        <v>0</v>
      </c>
      <c r="R155" s="6" t="n">
        <v>0</v>
      </c>
      <c r="S155" s="6" t="n">
        <v>0</v>
      </c>
      <c r="T155" s="6" t="n">
        <v>0</v>
      </c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</row>
    <row r="156" customFormat="false" ht="12.75" hidden="false" customHeight="false" outlineLevel="0" collapsed="false">
      <c r="C156" s="0" t="s">
        <v>22</v>
      </c>
      <c r="F156" s="4" t="s">
        <v>50</v>
      </c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customFormat="false" ht="12.75" hidden="false" customHeight="false" outlineLevel="0" collapsed="false"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customFormat="false" ht="12.75" hidden="false" customHeight="false" outlineLevel="0" collapsed="false">
      <c r="B158" s="1" t="s">
        <v>40</v>
      </c>
      <c r="C158" s="1" t="s">
        <v>51</v>
      </c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customFormat="false" ht="12.75" hidden="false" customHeight="false" outlineLevel="0" collapsed="false">
      <c r="D159" s="0" t="s">
        <v>17</v>
      </c>
      <c r="F159" s="4" t="n">
        <f aca="false">$F$17+$F$18</f>
        <v>0.2275</v>
      </c>
      <c r="G159" s="4" t="n">
        <f aca="false">$G$17+$G$18</f>
        <v>0.2275</v>
      </c>
      <c r="H159" s="4" t="n">
        <f aca="false">$H$17+$H$18</f>
        <v>0.1975</v>
      </c>
      <c r="I159" s="4" t="n">
        <f aca="false">$I$17+$I$18</f>
        <v>0.1575</v>
      </c>
      <c r="J159" s="4" t="n">
        <f aca="false">$J$17+$J$18</f>
        <v>0.1175</v>
      </c>
      <c r="K159" s="4" t="n">
        <f aca="false">$K$17+$K$18</f>
        <v>0.1175</v>
      </c>
      <c r="L159" s="4" t="n">
        <f aca="false">$L$17+$L$18</f>
        <v>0.1175</v>
      </c>
      <c r="M159" s="4" t="n">
        <f aca="false">$M$17+$M$18</f>
        <v>0.1175</v>
      </c>
      <c r="N159" s="4" t="n">
        <f aca="false">$N$17+$N$18</f>
        <v>0.1175</v>
      </c>
      <c r="O159" s="4" t="n">
        <f aca="false">$O$17+$O$18</f>
        <v>0.1575</v>
      </c>
      <c r="P159" s="4" t="n">
        <f aca="false">$P$17+$P$18</f>
        <v>0.2025</v>
      </c>
      <c r="Q159" s="4" t="n">
        <f aca="false">$Q$17+$Q$18</f>
        <v>0.2125</v>
      </c>
      <c r="R159" s="4" t="n">
        <f aca="false">$R$17+$R$18</f>
        <v>0.2325</v>
      </c>
      <c r="S159" s="4" t="n">
        <f aca="false">$S$17+$S$18</f>
        <v>0.2325</v>
      </c>
      <c r="T159" s="4" t="n">
        <f aca="false">$T$17+$T$18</f>
        <v>0.2025</v>
      </c>
    </row>
    <row r="160" customFormat="false" ht="12.75" hidden="false" customHeight="false" outlineLevel="0" collapsed="false">
      <c r="D160" s="0" t="s">
        <v>18</v>
      </c>
      <c r="F160" s="4" t="n">
        <f aca="false">$F$17+$F$18</f>
        <v>0.2275</v>
      </c>
      <c r="G160" s="4" t="n">
        <f aca="false">$G$17+$G$18</f>
        <v>0.2275</v>
      </c>
      <c r="H160" s="4" t="n">
        <f aca="false">$H$17+$H$18</f>
        <v>0.1975</v>
      </c>
      <c r="I160" s="4" t="n">
        <f aca="false">$I$17+$I$18</f>
        <v>0.1575</v>
      </c>
      <c r="J160" s="4" t="n">
        <f aca="false">$J$17+$J$18</f>
        <v>0.1175</v>
      </c>
      <c r="K160" s="4" t="n">
        <f aca="false">$K$17+$K$18</f>
        <v>0.1175</v>
      </c>
      <c r="L160" s="4" t="n">
        <f aca="false">$L$17+$L$18</f>
        <v>0.1175</v>
      </c>
      <c r="M160" s="4" t="n">
        <f aca="false">$M$17+$M$18</f>
        <v>0.1175</v>
      </c>
      <c r="N160" s="4" t="n">
        <f aca="false">$N$17+$N$18</f>
        <v>0.1175</v>
      </c>
      <c r="O160" s="4" t="n">
        <f aca="false">$O$17+$O$18</f>
        <v>0.1575</v>
      </c>
      <c r="P160" s="4" t="n">
        <f aca="false">$P$17+$P$18</f>
        <v>0.2025</v>
      </c>
      <c r="Q160" s="4" t="n">
        <f aca="false">$Q$17+$Q$18</f>
        <v>0.2125</v>
      </c>
      <c r="R160" s="4" t="n">
        <f aca="false">$R$17+$R$18</f>
        <v>0.2325</v>
      </c>
      <c r="S160" s="4" t="n">
        <f aca="false">$S$17+$S$18</f>
        <v>0.2325</v>
      </c>
      <c r="T160" s="4" t="n">
        <f aca="false">$T$17+$T$18</f>
        <v>0.2025</v>
      </c>
    </row>
    <row r="161" customFormat="false" ht="12.75" hidden="false" customHeight="false" outlineLevel="0" collapsed="false"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customFormat="false" ht="12.75" hidden="false" customHeight="false" outlineLevel="0" collapsed="false">
      <c r="C162" s="0" t="s">
        <v>19</v>
      </c>
      <c r="F162" s="6" t="n">
        <v>0</v>
      </c>
      <c r="G162" s="6" t="n">
        <v>0</v>
      </c>
      <c r="H162" s="6" t="n">
        <v>0</v>
      </c>
      <c r="I162" s="6" t="n">
        <v>0</v>
      </c>
      <c r="J162" s="6" t="n">
        <v>0</v>
      </c>
      <c r="K162" s="6" t="n">
        <v>0</v>
      </c>
      <c r="L162" s="6" t="n">
        <v>0</v>
      </c>
      <c r="M162" s="6" t="n">
        <v>0</v>
      </c>
      <c r="N162" s="6" t="n">
        <v>0</v>
      </c>
      <c r="O162" s="6" t="n">
        <v>0</v>
      </c>
      <c r="P162" s="6" t="n">
        <v>0</v>
      </c>
      <c r="Q162" s="6" t="n">
        <v>0</v>
      </c>
      <c r="R162" s="6" t="n">
        <v>0</v>
      </c>
      <c r="S162" s="6" t="n">
        <v>0</v>
      </c>
      <c r="T162" s="6" t="n">
        <v>0</v>
      </c>
    </row>
    <row r="163" customFormat="false" ht="12.75" hidden="false" customHeight="false" outlineLevel="0" collapsed="false">
      <c r="C163" s="0" t="s">
        <v>20</v>
      </c>
      <c r="F163" s="6" t="n">
        <v>0</v>
      </c>
      <c r="G163" s="6" t="n">
        <v>0</v>
      </c>
      <c r="H163" s="6" t="n">
        <v>0</v>
      </c>
      <c r="I163" s="6" t="n">
        <v>0</v>
      </c>
      <c r="J163" s="6" t="n">
        <v>0</v>
      </c>
      <c r="K163" s="6" t="n">
        <v>0</v>
      </c>
      <c r="L163" s="6" t="n">
        <v>0</v>
      </c>
      <c r="M163" s="6" t="n">
        <v>0</v>
      </c>
      <c r="N163" s="6" t="n">
        <v>0</v>
      </c>
      <c r="O163" s="6" t="n">
        <v>0</v>
      </c>
      <c r="P163" s="6" t="n">
        <v>0</v>
      </c>
      <c r="Q163" s="6" t="n">
        <v>0</v>
      </c>
      <c r="R163" s="6" t="n">
        <v>0</v>
      </c>
      <c r="S163" s="6" t="n">
        <v>0</v>
      </c>
      <c r="T163" s="6" t="n">
        <v>0</v>
      </c>
    </row>
    <row r="164" customFormat="false" ht="12.75" hidden="false" customHeight="false" outlineLevel="0" collapsed="false">
      <c r="C164" s="0" t="s">
        <v>21</v>
      </c>
      <c r="F164" s="6" t="n">
        <v>0</v>
      </c>
      <c r="G164" s="6" t="n">
        <v>0</v>
      </c>
      <c r="H164" s="6" t="n">
        <v>0</v>
      </c>
      <c r="I164" s="6" t="n">
        <v>0</v>
      </c>
      <c r="J164" s="6" t="n">
        <v>0</v>
      </c>
      <c r="K164" s="6" t="n">
        <v>0</v>
      </c>
      <c r="L164" s="6" t="n">
        <v>0</v>
      </c>
      <c r="M164" s="6" t="n">
        <v>0</v>
      </c>
      <c r="N164" s="6" t="n">
        <v>0</v>
      </c>
      <c r="O164" s="6" t="n">
        <v>0</v>
      </c>
      <c r="P164" s="6" t="n">
        <v>0</v>
      </c>
      <c r="Q164" s="6" t="n">
        <v>0</v>
      </c>
      <c r="R164" s="6" t="n">
        <v>0</v>
      </c>
      <c r="S164" s="6" t="n">
        <v>0</v>
      </c>
      <c r="T164" s="6" t="n">
        <v>0</v>
      </c>
    </row>
    <row r="165" customFormat="false" ht="12.75" hidden="false" customHeight="false" outlineLevel="0" collapsed="false">
      <c r="C165" s="0" t="s">
        <v>20</v>
      </c>
      <c r="F165" s="6" t="n">
        <v>0</v>
      </c>
      <c r="G165" s="6" t="n">
        <v>0</v>
      </c>
      <c r="H165" s="6" t="n">
        <v>0</v>
      </c>
      <c r="I165" s="6" t="n">
        <v>0</v>
      </c>
      <c r="J165" s="6" t="n">
        <v>0</v>
      </c>
      <c r="K165" s="6" t="n">
        <v>0</v>
      </c>
      <c r="L165" s="6" t="n">
        <v>0</v>
      </c>
      <c r="M165" s="6" t="n">
        <v>0</v>
      </c>
      <c r="N165" s="6" t="n">
        <v>0</v>
      </c>
      <c r="O165" s="6" t="n">
        <v>0</v>
      </c>
      <c r="P165" s="6" t="n">
        <v>0</v>
      </c>
      <c r="Q165" s="6" t="n">
        <v>0</v>
      </c>
      <c r="R165" s="6" t="n">
        <v>0</v>
      </c>
      <c r="S165" s="6" t="n">
        <v>0</v>
      </c>
      <c r="T165" s="6" t="n">
        <v>0</v>
      </c>
    </row>
    <row r="166" customFormat="false" ht="12.75" hidden="false" customHeight="false" outlineLevel="0" collapsed="false">
      <c r="C166" s="0" t="s">
        <v>22</v>
      </c>
      <c r="F166" s="4" t="s">
        <v>52</v>
      </c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customFormat="false" ht="12.75" hidden="false" customHeight="false" outlineLevel="0" collapsed="false"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customFormat="false" ht="12.75" hidden="false" customHeight="false" outlineLevel="0" collapsed="false">
      <c r="B168" s="1" t="s">
        <v>53</v>
      </c>
      <c r="C168" s="1" t="s">
        <v>54</v>
      </c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customFormat="false" ht="12.75" hidden="false" customHeight="false" outlineLevel="0" collapsed="false">
      <c r="D169" s="0" t="s">
        <v>17</v>
      </c>
      <c r="F169" s="4" t="n">
        <f aca="false">$F$17+$F$18</f>
        <v>0.2275</v>
      </c>
      <c r="G169" s="4" t="n">
        <f aca="false">$G$17+$G$18</f>
        <v>0.2275</v>
      </c>
      <c r="H169" s="4" t="n">
        <f aca="false">$H$17+$H$18</f>
        <v>0.1975</v>
      </c>
      <c r="I169" s="4" t="n">
        <f aca="false">$I$17+$I$18</f>
        <v>0.1575</v>
      </c>
      <c r="J169" s="4" t="n">
        <f aca="false">$J$17+$J$18</f>
        <v>0.1175</v>
      </c>
      <c r="K169" s="4" t="n">
        <f aca="false">$K$17+$K$18</f>
        <v>0.1175</v>
      </c>
      <c r="L169" s="4" t="n">
        <f aca="false">$L$17+$L$18</f>
        <v>0.1175</v>
      </c>
      <c r="M169" s="4" t="n">
        <f aca="false">$M$17+$M$18</f>
        <v>0.1175</v>
      </c>
      <c r="N169" s="4" t="n">
        <f aca="false">$N$17+$N$18</f>
        <v>0.1175</v>
      </c>
      <c r="O169" s="4" t="n">
        <f aca="false">$O$17+$O$18</f>
        <v>0.1575</v>
      </c>
      <c r="P169" s="4" t="n">
        <f aca="false">$P$17+$P$18</f>
        <v>0.2025</v>
      </c>
      <c r="Q169" s="4" t="n">
        <f aca="false">$Q$17+$Q$18</f>
        <v>0.2125</v>
      </c>
      <c r="R169" s="4" t="n">
        <f aca="false">$R$17+$R$18</f>
        <v>0.2325</v>
      </c>
      <c r="S169" s="4" t="n">
        <f aca="false">$S$17+$S$18</f>
        <v>0.2325</v>
      </c>
      <c r="T169" s="4" t="n">
        <f aca="false">$T$17+$T$18</f>
        <v>0.2025</v>
      </c>
    </row>
    <row r="170" customFormat="false" ht="12.75" hidden="false" customHeight="false" outlineLevel="0" collapsed="false">
      <c r="D170" s="0" t="s">
        <v>18</v>
      </c>
      <c r="F170" s="4" t="n">
        <f aca="false">$F$17+$F$18</f>
        <v>0.2275</v>
      </c>
      <c r="G170" s="4" t="n">
        <f aca="false">$G$17+$G$18</f>
        <v>0.2275</v>
      </c>
      <c r="H170" s="4" t="n">
        <f aca="false">$H$17+$H$18</f>
        <v>0.1975</v>
      </c>
      <c r="I170" s="4" t="n">
        <f aca="false">$I$17+$I$18</f>
        <v>0.1575</v>
      </c>
      <c r="J170" s="4" t="n">
        <f aca="false">$J$17+$J$18</f>
        <v>0.1175</v>
      </c>
      <c r="K170" s="4" t="n">
        <f aca="false">$K$17+$K$18</f>
        <v>0.1175</v>
      </c>
      <c r="L170" s="4" t="n">
        <f aca="false">$L$17+$L$18</f>
        <v>0.1175</v>
      </c>
      <c r="M170" s="4" t="n">
        <f aca="false">$M$17+$M$18</f>
        <v>0.1175</v>
      </c>
      <c r="N170" s="4" t="n">
        <f aca="false">$N$17+$N$18</f>
        <v>0.1175</v>
      </c>
      <c r="O170" s="4" t="n">
        <f aca="false">$O$17+$O$18</f>
        <v>0.1575</v>
      </c>
      <c r="P170" s="4" t="n">
        <f aca="false">$P$17+$P$18</f>
        <v>0.2025</v>
      </c>
      <c r="Q170" s="4" t="n">
        <f aca="false">$Q$17+$Q$18</f>
        <v>0.2125</v>
      </c>
      <c r="R170" s="4" t="n">
        <f aca="false">$R$17+$R$18</f>
        <v>0.2325</v>
      </c>
      <c r="S170" s="4" t="n">
        <f aca="false">$S$17+$S$18</f>
        <v>0.2325</v>
      </c>
      <c r="T170" s="4" t="n">
        <f aca="false">$T$17+$T$18</f>
        <v>0.2025</v>
      </c>
    </row>
    <row r="171" customFormat="false" ht="12.75" hidden="false" customHeight="false" outlineLevel="0" collapsed="false"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</row>
    <row r="172" customFormat="false" ht="12.75" hidden="true" customHeight="false" outlineLevel="0" collapsed="false">
      <c r="C172" s="0" t="s">
        <v>19</v>
      </c>
      <c r="F172" s="10" t="n">
        <v>46803</v>
      </c>
      <c r="G172" s="10" t="n">
        <v>39147</v>
      </c>
      <c r="H172" s="10" t="n">
        <v>41237</v>
      </c>
      <c r="I172" s="10" t="n">
        <v>63069</v>
      </c>
      <c r="J172" s="10" t="n">
        <v>62774</v>
      </c>
      <c r="K172" s="10" t="n">
        <v>47361</v>
      </c>
      <c r="L172" s="10" t="n">
        <v>11574</v>
      </c>
      <c r="M172" s="10" t="n">
        <v>11834</v>
      </c>
      <c r="N172" s="10" t="n">
        <v>12248</v>
      </c>
      <c r="O172" s="10" t="n">
        <v>11857</v>
      </c>
      <c r="P172" s="10" t="n">
        <v>14359</v>
      </c>
      <c r="Q172" s="10" t="n">
        <v>9357</v>
      </c>
      <c r="R172" s="10" t="n">
        <v>11048</v>
      </c>
      <c r="S172" s="10" t="n">
        <v>9453</v>
      </c>
      <c r="T172" s="10" t="n">
        <v>8909</v>
      </c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</row>
    <row r="173" customFormat="false" ht="12.75" hidden="false" customHeight="false" outlineLevel="0" collapsed="false">
      <c r="A173" s="8"/>
      <c r="B173" s="8"/>
      <c r="C173" s="0" t="s">
        <v>19</v>
      </c>
      <c r="D173" s="8"/>
      <c r="E173" s="8"/>
      <c r="F173" s="10" t="n">
        <f aca="false">F172/31</f>
        <v>1509.77419354839</v>
      </c>
      <c r="G173" s="10" t="n">
        <f aca="false">G172/29</f>
        <v>1349.89655172414</v>
      </c>
      <c r="H173" s="10" t="n">
        <f aca="false">H172/31</f>
        <v>1330.22580645161</v>
      </c>
      <c r="I173" s="10" t="n">
        <f aca="false">I172/30</f>
        <v>2102.3</v>
      </c>
      <c r="J173" s="10" t="n">
        <f aca="false">J172/31</f>
        <v>2024.96774193548</v>
      </c>
      <c r="K173" s="10" t="n">
        <f aca="false">K172/30</f>
        <v>1578.7</v>
      </c>
      <c r="L173" s="10" t="n">
        <f aca="false">L172/31</f>
        <v>373.354838709677</v>
      </c>
      <c r="M173" s="10" t="n">
        <f aca="false">M172/31</f>
        <v>381.741935483871</v>
      </c>
      <c r="N173" s="10" t="n">
        <f aca="false">N172/30</f>
        <v>408.266666666667</v>
      </c>
      <c r="O173" s="10" t="n">
        <f aca="false">O172/31</f>
        <v>382.483870967742</v>
      </c>
      <c r="P173" s="10" t="n">
        <f aca="false">P172/30</f>
        <v>478.633333333333</v>
      </c>
      <c r="Q173" s="10" t="n">
        <f aca="false">Q172/31</f>
        <v>301.838709677419</v>
      </c>
      <c r="R173" s="10" t="n">
        <f aca="false">R172/31</f>
        <v>356.387096774194</v>
      </c>
      <c r="S173" s="10" t="n">
        <f aca="false">S172/28</f>
        <v>337.607142857143</v>
      </c>
      <c r="T173" s="10" t="n">
        <f aca="false">T172/31</f>
        <v>287.387096774194</v>
      </c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</row>
    <row r="174" customFormat="false" ht="12.75" hidden="false" customHeight="false" outlineLevel="0" collapsed="false">
      <c r="C174" s="0" t="s">
        <v>20</v>
      </c>
      <c r="F174" s="6" t="n">
        <v>8000</v>
      </c>
      <c r="G174" s="6" t="n">
        <v>8000</v>
      </c>
      <c r="H174" s="6" t="n">
        <v>8000</v>
      </c>
      <c r="I174" s="6" t="n">
        <v>8000</v>
      </c>
      <c r="J174" s="6" t="n">
        <v>8000</v>
      </c>
      <c r="K174" s="6" t="n">
        <v>8000</v>
      </c>
      <c r="L174" s="6" t="n">
        <v>8000</v>
      </c>
      <c r="M174" s="6" t="n">
        <v>8000</v>
      </c>
      <c r="N174" s="6" t="n">
        <v>8000</v>
      </c>
      <c r="O174" s="6" t="n">
        <v>8000</v>
      </c>
      <c r="P174" s="6" t="n">
        <v>0</v>
      </c>
      <c r="Q174" s="6" t="n">
        <v>0</v>
      </c>
      <c r="R174" s="6" t="n">
        <v>0</v>
      </c>
      <c r="S174" s="6" t="n">
        <v>0</v>
      </c>
      <c r="T174" s="6" t="n">
        <v>0</v>
      </c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</row>
    <row r="175" customFormat="false" ht="12.75" hidden="true" customHeight="false" outlineLevel="0" collapsed="false">
      <c r="C175" s="0" t="s">
        <v>21</v>
      </c>
      <c r="F175" s="10" t="n">
        <v>423919</v>
      </c>
      <c r="G175" s="10" t="n">
        <v>369676</v>
      </c>
      <c r="H175" s="10" t="n">
        <v>287669</v>
      </c>
      <c r="I175" s="10" t="n">
        <v>177572</v>
      </c>
      <c r="J175" s="10" t="n">
        <v>87992</v>
      </c>
      <c r="K175" s="10" t="n">
        <v>43003</v>
      </c>
      <c r="L175" s="10" t="n">
        <v>40947</v>
      </c>
      <c r="M175" s="10" t="n">
        <v>41348</v>
      </c>
      <c r="N175" s="10" t="n">
        <v>52642</v>
      </c>
      <c r="O175" s="10" t="n">
        <v>85825</v>
      </c>
      <c r="P175" s="10" t="n">
        <v>93095</v>
      </c>
      <c r="Q175" s="10" t="n">
        <v>125431</v>
      </c>
      <c r="R175" s="10" t="n">
        <v>53808</v>
      </c>
      <c r="S175" s="10" t="n">
        <v>22306</v>
      </c>
      <c r="T175" s="10" t="n">
        <v>9049</v>
      </c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</row>
    <row r="176" customFormat="false" ht="12.75" hidden="false" customHeight="false" outlineLevel="0" collapsed="false">
      <c r="A176" s="8"/>
      <c r="B176" s="8"/>
      <c r="C176" s="0" t="s">
        <v>21</v>
      </c>
      <c r="D176" s="8"/>
      <c r="E176" s="8"/>
      <c r="F176" s="10" t="n">
        <f aca="false">F175/31</f>
        <v>13674.8064516129</v>
      </c>
      <c r="G176" s="10" t="n">
        <v>13130</v>
      </c>
      <c r="H176" s="10" t="n">
        <f aca="false">H175/31</f>
        <v>9279.64516129032</v>
      </c>
      <c r="I176" s="10" t="n">
        <f aca="false">I175/30</f>
        <v>5919.06666666667</v>
      </c>
      <c r="J176" s="10" t="n">
        <f aca="false">J175/31</f>
        <v>2838.45161290323</v>
      </c>
      <c r="K176" s="10" t="n">
        <f aca="false">K175/30</f>
        <v>1433.43333333333</v>
      </c>
      <c r="L176" s="10" t="n">
        <f aca="false">L175/31</f>
        <v>1320.87096774194</v>
      </c>
      <c r="M176" s="10" t="n">
        <f aca="false">M175/31</f>
        <v>1333.8064516129</v>
      </c>
      <c r="N176" s="10" t="n">
        <f aca="false">N175/30</f>
        <v>1754.73333333333</v>
      </c>
      <c r="O176" s="10" t="n">
        <f aca="false">O175/31</f>
        <v>2768.54838709677</v>
      </c>
      <c r="P176" s="10" t="n">
        <f aca="false">P175/30</f>
        <v>3103.16666666667</v>
      </c>
      <c r="Q176" s="10" t="n">
        <f aca="false">Q175/31</f>
        <v>4046.16129032258</v>
      </c>
      <c r="R176" s="10" t="n">
        <f aca="false">R175/31</f>
        <v>1735.74193548387</v>
      </c>
      <c r="S176" s="10" t="n">
        <f aca="false">S175/28</f>
        <v>796.642857142857</v>
      </c>
      <c r="T176" s="10" t="n">
        <f aca="false">T175/31</f>
        <v>291.903225806452</v>
      </c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</row>
    <row r="177" customFormat="false" ht="12.75" hidden="false" customHeight="false" outlineLevel="0" collapsed="false">
      <c r="C177" s="0" t="s">
        <v>20</v>
      </c>
      <c r="F177" s="6" t="n">
        <v>18443</v>
      </c>
      <c r="G177" s="6" t="n">
        <v>18443</v>
      </c>
      <c r="H177" s="6" t="n">
        <v>18443</v>
      </c>
      <c r="I177" s="6" t="n">
        <v>0</v>
      </c>
      <c r="J177" s="6" t="n">
        <v>0</v>
      </c>
      <c r="K177" s="6" t="n">
        <v>0</v>
      </c>
      <c r="L177" s="6" t="n">
        <v>0</v>
      </c>
      <c r="M177" s="6" t="n">
        <v>0</v>
      </c>
      <c r="N177" s="6" t="n">
        <v>0</v>
      </c>
      <c r="O177" s="6" t="n">
        <v>0</v>
      </c>
      <c r="P177" s="6" t="n">
        <v>0</v>
      </c>
      <c r="Q177" s="6" t="n">
        <v>0</v>
      </c>
      <c r="R177" s="6" t="n">
        <v>0</v>
      </c>
      <c r="S177" s="6" t="n">
        <v>0</v>
      </c>
      <c r="T177" s="6" t="n">
        <v>0</v>
      </c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</row>
    <row r="178" customFormat="false" ht="12.75" hidden="false" customHeight="false" outlineLevel="0" collapsed="false">
      <c r="C178" s="0" t="s">
        <v>22</v>
      </c>
      <c r="F178" s="4" t="s">
        <v>55</v>
      </c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customFormat="false" ht="12.75" hidden="false" customHeight="false" outlineLevel="0" collapsed="false"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customFormat="false" ht="12.75" hidden="false" customHeight="false" outlineLevel="0" collapsed="false">
      <c r="B180" s="1" t="s">
        <v>53</v>
      </c>
      <c r="C180" s="1" t="s">
        <v>56</v>
      </c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customFormat="false" ht="12.75" hidden="false" customHeight="false" outlineLevel="0" collapsed="false">
      <c r="D181" s="0" t="s">
        <v>17</v>
      </c>
      <c r="F181" s="4" t="n">
        <f aca="false">$F$17+$F$18</f>
        <v>0.2275</v>
      </c>
      <c r="G181" s="4" t="n">
        <f aca="false">$G$17+$G$18</f>
        <v>0.2275</v>
      </c>
      <c r="H181" s="4" t="n">
        <f aca="false">$H$17+$H$18</f>
        <v>0.1975</v>
      </c>
      <c r="I181" s="4" t="n">
        <f aca="false">$I$17+$I$18</f>
        <v>0.1575</v>
      </c>
      <c r="J181" s="4" t="n">
        <f aca="false">$J$17+$J$18</f>
        <v>0.1175</v>
      </c>
      <c r="K181" s="4" t="n">
        <f aca="false">$K$17+$K$18</f>
        <v>0.1175</v>
      </c>
      <c r="L181" s="4" t="n">
        <f aca="false">$L$17+$L$18</f>
        <v>0.1175</v>
      </c>
      <c r="M181" s="4" t="n">
        <f aca="false">$M$17+$M$18</f>
        <v>0.1175</v>
      </c>
      <c r="N181" s="4" t="n">
        <f aca="false">$N$17+$N$18</f>
        <v>0.1175</v>
      </c>
      <c r="O181" s="4" t="n">
        <f aca="false">$O$17+$O$18</f>
        <v>0.1575</v>
      </c>
      <c r="P181" s="4" t="n">
        <f aca="false">$P$17+$P$18</f>
        <v>0.2025</v>
      </c>
      <c r="Q181" s="4" t="n">
        <f aca="false">$Q$17+$Q$18</f>
        <v>0.2125</v>
      </c>
      <c r="R181" s="4" t="n">
        <f aca="false">$R$17+$R$18</f>
        <v>0.2325</v>
      </c>
      <c r="S181" s="4" t="n">
        <f aca="false">$S$17+$S$18</f>
        <v>0.2325</v>
      </c>
      <c r="T181" s="4" t="n">
        <f aca="false">$T$17+$T$18</f>
        <v>0.2025</v>
      </c>
    </row>
    <row r="182" customFormat="false" ht="12.75" hidden="false" customHeight="false" outlineLevel="0" collapsed="false">
      <c r="D182" s="0" t="s">
        <v>18</v>
      </c>
      <c r="F182" s="4" t="n">
        <f aca="false">$F$17+$F$18</f>
        <v>0.2275</v>
      </c>
      <c r="G182" s="4" t="n">
        <f aca="false">$G$17+$G$18</f>
        <v>0.2275</v>
      </c>
      <c r="H182" s="4" t="n">
        <f aca="false">$H$17+$H$18</f>
        <v>0.1975</v>
      </c>
      <c r="I182" s="4" t="n">
        <f aca="false">$I$17+$I$18</f>
        <v>0.1575</v>
      </c>
      <c r="J182" s="4" t="n">
        <f aca="false">$J$17+$J$18</f>
        <v>0.1175</v>
      </c>
      <c r="K182" s="4" t="n">
        <f aca="false">$K$17+$K$18</f>
        <v>0.1175</v>
      </c>
      <c r="L182" s="4" t="n">
        <f aca="false">$L$17+$L$18</f>
        <v>0.1175</v>
      </c>
      <c r="M182" s="4" t="n">
        <f aca="false">$M$17+$M$18</f>
        <v>0.1175</v>
      </c>
      <c r="N182" s="4" t="n">
        <f aca="false">$N$17+$N$18</f>
        <v>0.1175</v>
      </c>
      <c r="O182" s="4" t="n">
        <f aca="false">$O$17+$O$18</f>
        <v>0.1575</v>
      </c>
      <c r="P182" s="4" t="n">
        <f aca="false">$P$17+$P$18</f>
        <v>0.2025</v>
      </c>
      <c r="Q182" s="4" t="n">
        <f aca="false">$Q$17+$Q$18</f>
        <v>0.2125</v>
      </c>
      <c r="R182" s="4" t="n">
        <f aca="false">$R$17+$R$18</f>
        <v>0.2325</v>
      </c>
      <c r="S182" s="4" t="n">
        <f aca="false">$S$17+$S$18</f>
        <v>0.2325</v>
      </c>
      <c r="T182" s="4" t="n">
        <f aca="false">$T$17+$T$18</f>
        <v>0.2025</v>
      </c>
    </row>
    <row r="183" customFormat="false" ht="12.75" hidden="false" customHeight="false" outlineLevel="0" collapsed="false"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customFormat="false" ht="12.75" hidden="true" customHeight="false" outlineLevel="0" collapsed="false">
      <c r="C184" s="0" t="s">
        <v>19</v>
      </c>
      <c r="F184" s="10" t="n">
        <f aca="false">9559+28750+2150</f>
        <v>40459</v>
      </c>
      <c r="G184" s="10" t="n">
        <f aca="false">9558+25300+2106</f>
        <v>36964</v>
      </c>
      <c r="H184" s="10" t="n">
        <f aca="false">7142+20700+1679</f>
        <v>29521</v>
      </c>
      <c r="I184" s="10" t="n">
        <f aca="false">27920+214</f>
        <v>28134</v>
      </c>
      <c r="J184" s="10" t="n">
        <f aca="false">10224+42</f>
        <v>10266</v>
      </c>
      <c r="K184" s="10" t="n">
        <f aca="false">7147+10</f>
        <v>7157</v>
      </c>
      <c r="L184" s="10" t="n">
        <f aca="false">6461+6</f>
        <v>6467</v>
      </c>
      <c r="M184" s="10" t="n">
        <f aca="false">6380+7</f>
        <v>6387</v>
      </c>
      <c r="N184" s="10" t="n">
        <f aca="false">6639+8</f>
        <v>6647</v>
      </c>
      <c r="O184" s="10" t="n">
        <f aca="false">9197+13</f>
        <v>9210</v>
      </c>
      <c r="P184" s="10" t="n">
        <f aca="false">5915+34</f>
        <v>5949</v>
      </c>
      <c r="Q184" s="10" t="n">
        <f aca="false">7712+112</f>
        <v>7824</v>
      </c>
      <c r="R184" s="10" t="n">
        <f aca="false">10562+184</f>
        <v>10746</v>
      </c>
      <c r="S184" s="10" t="n">
        <f aca="false">9739+184</f>
        <v>9923</v>
      </c>
      <c r="T184" s="10" t="n">
        <f aca="false">7970+184</f>
        <v>8154</v>
      </c>
      <c r="U184" s="6"/>
      <c r="V184" s="6"/>
      <c r="W184" s="6"/>
      <c r="X184" s="6"/>
    </row>
    <row r="185" customFormat="false" ht="12.75" hidden="false" customHeight="false" outlineLevel="0" collapsed="false">
      <c r="A185" s="8"/>
      <c r="B185" s="8"/>
      <c r="C185" s="0" t="s">
        <v>19</v>
      </c>
      <c r="D185" s="8"/>
      <c r="E185" s="8"/>
      <c r="F185" s="10" t="n">
        <f aca="false">F184/31</f>
        <v>1305.12903225806</v>
      </c>
      <c r="G185" s="10" t="n">
        <f aca="false">G184/29</f>
        <v>1274.62068965517</v>
      </c>
      <c r="H185" s="10" t="n">
        <f aca="false">H184/31</f>
        <v>952.290322580645</v>
      </c>
      <c r="I185" s="10" t="n">
        <f aca="false">I184/30</f>
        <v>937.8</v>
      </c>
      <c r="J185" s="10" t="n">
        <f aca="false">J184/31</f>
        <v>331.161290322581</v>
      </c>
      <c r="K185" s="10" t="n">
        <f aca="false">K184/30</f>
        <v>238.566666666667</v>
      </c>
      <c r="L185" s="10" t="n">
        <f aca="false">L184/31</f>
        <v>208.612903225806</v>
      </c>
      <c r="M185" s="10" t="n">
        <f aca="false">M184/31</f>
        <v>206.032258064516</v>
      </c>
      <c r="N185" s="10" t="n">
        <f aca="false">N184/30</f>
        <v>221.566666666667</v>
      </c>
      <c r="O185" s="10" t="n">
        <f aca="false">O184/31</f>
        <v>297.096774193548</v>
      </c>
      <c r="P185" s="10" t="n">
        <f aca="false">P184/30</f>
        <v>198.3</v>
      </c>
      <c r="Q185" s="10" t="n">
        <f aca="false">Q184/31</f>
        <v>252.387096774194</v>
      </c>
      <c r="R185" s="10" t="n">
        <f aca="false">R184/31</f>
        <v>346.645161290323</v>
      </c>
      <c r="S185" s="10" t="n">
        <f aca="false">S184/28</f>
        <v>354.392857142857</v>
      </c>
      <c r="T185" s="10" t="n">
        <f aca="false">T184/31</f>
        <v>263.032258064516</v>
      </c>
      <c r="U185" s="6"/>
      <c r="V185" s="6"/>
      <c r="W185" s="6"/>
      <c r="X185" s="6"/>
    </row>
    <row r="186" customFormat="false" ht="12.75" hidden="false" customHeight="false" outlineLevel="0" collapsed="false">
      <c r="C186" s="0" t="s">
        <v>20</v>
      </c>
      <c r="F186" s="10" t="n">
        <v>5100</v>
      </c>
      <c r="G186" s="10" t="n">
        <v>5100</v>
      </c>
      <c r="H186" s="10" t="n">
        <v>5100</v>
      </c>
      <c r="I186" s="10" t="n">
        <v>5100</v>
      </c>
      <c r="J186" s="10" t="n">
        <v>5100</v>
      </c>
      <c r="K186" s="10" t="n">
        <v>4500</v>
      </c>
      <c r="L186" s="10" t="n">
        <v>4500</v>
      </c>
      <c r="M186" s="10" t="n">
        <v>4500</v>
      </c>
      <c r="N186" s="10" t="n">
        <v>4500</v>
      </c>
      <c r="O186" s="10" t="n">
        <v>4500</v>
      </c>
      <c r="P186" s="10" t="n">
        <v>0</v>
      </c>
      <c r="Q186" s="10" t="n">
        <v>0</v>
      </c>
      <c r="R186" s="10" t="n">
        <v>0</v>
      </c>
      <c r="S186" s="10" t="n">
        <v>0</v>
      </c>
      <c r="T186" s="10" t="n">
        <v>0</v>
      </c>
      <c r="U186" s="6"/>
      <c r="V186" s="6"/>
      <c r="W186" s="6"/>
      <c r="X186" s="6"/>
    </row>
    <row r="187" customFormat="false" ht="12.75" hidden="true" customHeight="false" outlineLevel="0" collapsed="false">
      <c r="C187" s="0" t="s">
        <v>21</v>
      </c>
      <c r="F187" s="10" t="n">
        <v>169215</v>
      </c>
      <c r="G187" s="10" t="n">
        <v>148000</v>
      </c>
      <c r="H187" s="10" t="n">
        <v>115324</v>
      </c>
      <c r="I187" s="10" t="n">
        <v>70931</v>
      </c>
      <c r="J187" s="10" t="n">
        <v>35159</v>
      </c>
      <c r="K187" s="10" t="n">
        <v>17483</v>
      </c>
      <c r="L187" s="10" t="n">
        <v>16420</v>
      </c>
      <c r="M187" s="10" t="n">
        <v>16564</v>
      </c>
      <c r="N187" s="10" t="n">
        <v>20955</v>
      </c>
      <c r="O187" s="10" t="n">
        <v>34635</v>
      </c>
      <c r="P187" s="10" t="n">
        <v>38127</v>
      </c>
      <c r="Q187" s="10" t="n">
        <v>51382</v>
      </c>
      <c r="R187" s="10" t="n">
        <v>23626</v>
      </c>
      <c r="S187" s="10" t="n">
        <v>10450</v>
      </c>
      <c r="T187" s="10" t="n">
        <v>4658</v>
      </c>
      <c r="U187" s="6"/>
      <c r="V187" s="6"/>
      <c r="W187" s="6"/>
      <c r="X187" s="6"/>
    </row>
    <row r="188" customFormat="false" ht="12.75" hidden="false" customHeight="false" outlineLevel="0" collapsed="false">
      <c r="A188" s="8"/>
      <c r="B188" s="8"/>
      <c r="C188" s="0" t="s">
        <v>21</v>
      </c>
      <c r="D188" s="8"/>
      <c r="E188" s="8"/>
      <c r="F188" s="10" t="n">
        <f aca="false">F187/31</f>
        <v>5458.54838709678</v>
      </c>
      <c r="G188" s="10" t="n">
        <v>5257</v>
      </c>
      <c r="H188" s="10" t="n">
        <f aca="false">H187/31</f>
        <v>3720.12903225806</v>
      </c>
      <c r="I188" s="10" t="n">
        <f aca="false">I187/30</f>
        <v>2364.36666666667</v>
      </c>
      <c r="J188" s="10" t="n">
        <f aca="false">J187/31</f>
        <v>1134.16129032258</v>
      </c>
      <c r="K188" s="10" t="n">
        <f aca="false">K187/30</f>
        <v>582.766666666667</v>
      </c>
      <c r="L188" s="10" t="n">
        <f aca="false">L187/31</f>
        <v>529.677419354839</v>
      </c>
      <c r="M188" s="10" t="n">
        <f aca="false">M187/31</f>
        <v>534.322580645161</v>
      </c>
      <c r="N188" s="10" t="n">
        <f aca="false">N187/30</f>
        <v>698.5</v>
      </c>
      <c r="O188" s="10" t="n">
        <f aca="false">O187/31</f>
        <v>1117.25806451613</v>
      </c>
      <c r="P188" s="10" t="n">
        <f aca="false">P187/30</f>
        <v>1270.9</v>
      </c>
      <c r="Q188" s="10" t="n">
        <f aca="false">Q187/31</f>
        <v>1657.48387096774</v>
      </c>
      <c r="R188" s="10" t="n">
        <f aca="false">R187/31</f>
        <v>762.129032258065</v>
      </c>
      <c r="S188" s="10" t="n">
        <f aca="false">S187/28</f>
        <v>373.214285714286</v>
      </c>
      <c r="T188" s="10" t="n">
        <f aca="false">T187/31</f>
        <v>150.258064516129</v>
      </c>
      <c r="U188" s="6"/>
      <c r="V188" s="6"/>
      <c r="W188" s="6"/>
      <c r="X188" s="6"/>
    </row>
    <row r="189" customFormat="false" ht="12.75" hidden="false" customHeight="false" outlineLevel="0" collapsed="false">
      <c r="C189" s="0" t="s">
        <v>20</v>
      </c>
      <c r="F189" s="6" t="n">
        <v>7511</v>
      </c>
      <c r="G189" s="6" t="n">
        <v>7511</v>
      </c>
      <c r="H189" s="6" t="n">
        <v>7511</v>
      </c>
      <c r="I189" s="6" t="n">
        <v>0</v>
      </c>
      <c r="J189" s="6" t="n">
        <v>0</v>
      </c>
      <c r="K189" s="6" t="n">
        <v>0</v>
      </c>
      <c r="L189" s="6" t="n">
        <v>0</v>
      </c>
      <c r="M189" s="6" t="n">
        <v>0</v>
      </c>
      <c r="N189" s="6" t="n">
        <v>0</v>
      </c>
      <c r="O189" s="6" t="n">
        <v>0</v>
      </c>
      <c r="P189" s="6" t="n">
        <v>0</v>
      </c>
      <c r="Q189" s="6" t="n">
        <v>0</v>
      </c>
      <c r="R189" s="6" t="n">
        <v>0</v>
      </c>
      <c r="S189" s="6" t="n">
        <v>0</v>
      </c>
      <c r="T189" s="6" t="n">
        <v>0</v>
      </c>
      <c r="U189" s="6"/>
      <c r="V189" s="6"/>
      <c r="W189" s="6"/>
      <c r="X189" s="6"/>
    </row>
    <row r="190" customFormat="false" ht="12.75" hidden="false" customHeight="false" outlineLevel="0" collapsed="false">
      <c r="C190" s="0" t="s">
        <v>22</v>
      </c>
      <c r="F190" s="4" t="s">
        <v>57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customFormat="false" ht="12.75" hidden="false" customHeight="false" outlineLevel="0" collapsed="false"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customFormat="false" ht="12.75" hidden="false" customHeight="false" outlineLevel="0" collapsed="false">
      <c r="B192" s="1" t="s">
        <v>58</v>
      </c>
      <c r="C192" s="1" t="s">
        <v>59</v>
      </c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customFormat="false" ht="12.75" hidden="false" customHeight="false" outlineLevel="0" collapsed="false">
      <c r="D193" s="0" t="s">
        <v>17</v>
      </c>
      <c r="F193" s="4" t="n">
        <f aca="false">$F$17+$F$18</f>
        <v>0.2275</v>
      </c>
      <c r="G193" s="4" t="n">
        <f aca="false">$G$17+$G$18</f>
        <v>0.2275</v>
      </c>
      <c r="H193" s="4" t="n">
        <f aca="false">$H$17+$H$18</f>
        <v>0.1975</v>
      </c>
      <c r="I193" s="4" t="n">
        <f aca="false">$I$17+$I$18</f>
        <v>0.1575</v>
      </c>
      <c r="J193" s="4" t="n">
        <f aca="false">$J$17+$J$18</f>
        <v>0.1175</v>
      </c>
      <c r="K193" s="4" t="n">
        <f aca="false">$K$17+$K$18</f>
        <v>0.1175</v>
      </c>
      <c r="L193" s="4" t="n">
        <f aca="false">$L$17+$L$18</f>
        <v>0.1175</v>
      </c>
      <c r="M193" s="4" t="n">
        <f aca="false">$M$17+$M$18</f>
        <v>0.1175</v>
      </c>
      <c r="N193" s="4" t="n">
        <f aca="false">$N$17+$N$18</f>
        <v>0.1175</v>
      </c>
      <c r="O193" s="4" t="n">
        <f aca="false">$O$17+$O$18</f>
        <v>0.1575</v>
      </c>
      <c r="P193" s="4" t="n">
        <f aca="false">$P$17+$P$18</f>
        <v>0.2025</v>
      </c>
      <c r="Q193" s="4" t="n">
        <f aca="false">$Q$17+$Q$18</f>
        <v>0.2125</v>
      </c>
      <c r="R193" s="4" t="n">
        <f aca="false">$R$17+$R$18</f>
        <v>0.2325</v>
      </c>
      <c r="S193" s="4" t="n">
        <f aca="false">$S$17+$S$18</f>
        <v>0.2325</v>
      </c>
      <c r="T193" s="4" t="n">
        <f aca="false">$T$17+$T$18</f>
        <v>0.2025</v>
      </c>
    </row>
    <row r="194" customFormat="false" ht="12.75" hidden="false" customHeight="false" outlineLevel="0" collapsed="false">
      <c r="D194" s="0" t="s">
        <v>18</v>
      </c>
      <c r="F194" s="4" t="n">
        <f aca="false">$F$17+$F$18</f>
        <v>0.2275</v>
      </c>
      <c r="G194" s="4" t="n">
        <f aca="false">$G$17+$G$18</f>
        <v>0.2275</v>
      </c>
      <c r="H194" s="4" t="n">
        <f aca="false">$H$17+$H$18</f>
        <v>0.1975</v>
      </c>
      <c r="I194" s="4" t="n">
        <f aca="false">$I$17+$I$18</f>
        <v>0.1575</v>
      </c>
      <c r="J194" s="4" t="n">
        <f aca="false">$J$17+$J$18</f>
        <v>0.1175</v>
      </c>
      <c r="K194" s="4" t="n">
        <f aca="false">$K$17+$K$18</f>
        <v>0.1175</v>
      </c>
      <c r="L194" s="4" t="n">
        <f aca="false">$L$17+$L$18</f>
        <v>0.1175</v>
      </c>
      <c r="M194" s="4" t="n">
        <f aca="false">$M$17+$M$18</f>
        <v>0.1175</v>
      </c>
      <c r="N194" s="4" t="n">
        <f aca="false">$N$17+$N$18</f>
        <v>0.1175</v>
      </c>
      <c r="O194" s="4" t="n">
        <f aca="false">$O$17+$O$18</f>
        <v>0.1575</v>
      </c>
      <c r="P194" s="4" t="n">
        <f aca="false">$P$17+$P$18</f>
        <v>0.2025</v>
      </c>
      <c r="Q194" s="4" t="n">
        <f aca="false">$Q$17+$Q$18</f>
        <v>0.2125</v>
      </c>
      <c r="R194" s="4" t="n">
        <f aca="false">$R$17+$R$18</f>
        <v>0.2325</v>
      </c>
      <c r="S194" s="4" t="n">
        <f aca="false">$S$17+$S$18</f>
        <v>0.2325</v>
      </c>
      <c r="T194" s="4" t="n">
        <f aca="false">$T$17+$T$18</f>
        <v>0.2025</v>
      </c>
    </row>
    <row r="195" customFormat="false" ht="12.75" hidden="false" customHeight="false" outlineLevel="0" collapsed="false"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customFormat="false" ht="12.75" hidden="false" customHeight="false" outlineLevel="0" collapsed="false">
      <c r="C196" s="0" t="s">
        <v>19</v>
      </c>
      <c r="F196" s="6" t="n">
        <v>0</v>
      </c>
      <c r="G196" s="6" t="n">
        <v>0</v>
      </c>
      <c r="H196" s="6" t="n">
        <v>0</v>
      </c>
      <c r="I196" s="6" t="n">
        <v>0</v>
      </c>
      <c r="J196" s="6" t="n">
        <v>0</v>
      </c>
      <c r="K196" s="6" t="n">
        <v>0</v>
      </c>
      <c r="L196" s="6" t="n">
        <v>0</v>
      </c>
      <c r="M196" s="6" t="n">
        <v>0</v>
      </c>
      <c r="N196" s="6" t="n">
        <v>0</v>
      </c>
      <c r="O196" s="6" t="n">
        <v>0</v>
      </c>
      <c r="P196" s="6" t="n">
        <v>0</v>
      </c>
      <c r="Q196" s="6" t="n">
        <v>0</v>
      </c>
      <c r="R196" s="6" t="n">
        <v>0</v>
      </c>
      <c r="S196" s="6" t="n">
        <v>0</v>
      </c>
      <c r="T196" s="6" t="n">
        <v>0</v>
      </c>
    </row>
    <row r="197" customFormat="false" ht="12.75" hidden="false" customHeight="false" outlineLevel="0" collapsed="false">
      <c r="C197" s="0" t="s">
        <v>20</v>
      </c>
      <c r="F197" s="6" t="n">
        <v>0</v>
      </c>
      <c r="G197" s="6" t="n">
        <v>0</v>
      </c>
      <c r="H197" s="6" t="n">
        <v>0</v>
      </c>
      <c r="I197" s="6" t="n">
        <v>0</v>
      </c>
      <c r="J197" s="6" t="n">
        <v>0</v>
      </c>
      <c r="K197" s="6" t="n">
        <v>0</v>
      </c>
      <c r="L197" s="6" t="n">
        <v>0</v>
      </c>
      <c r="M197" s="6" t="n">
        <v>0</v>
      </c>
      <c r="N197" s="6" t="n">
        <v>0</v>
      </c>
      <c r="O197" s="6" t="n">
        <v>0</v>
      </c>
      <c r="P197" s="6" t="n">
        <v>0</v>
      </c>
      <c r="Q197" s="6" t="n">
        <v>0</v>
      </c>
      <c r="R197" s="6" t="n">
        <v>0</v>
      </c>
      <c r="S197" s="6" t="n">
        <v>0</v>
      </c>
      <c r="T197" s="6" t="n">
        <v>0</v>
      </c>
    </row>
    <row r="198" customFormat="false" ht="12.75" hidden="false" customHeight="false" outlineLevel="0" collapsed="false">
      <c r="C198" s="0" t="s">
        <v>21</v>
      </c>
      <c r="F198" s="6" t="n">
        <v>0</v>
      </c>
      <c r="G198" s="6" t="n">
        <v>0</v>
      </c>
      <c r="H198" s="6" t="n">
        <v>0</v>
      </c>
      <c r="I198" s="6" t="n">
        <v>0</v>
      </c>
      <c r="J198" s="6" t="n">
        <v>0</v>
      </c>
      <c r="K198" s="6" t="n">
        <v>0</v>
      </c>
      <c r="L198" s="6" t="n">
        <v>0</v>
      </c>
      <c r="M198" s="6" t="n">
        <v>0</v>
      </c>
      <c r="N198" s="6" t="n">
        <v>0</v>
      </c>
      <c r="O198" s="6" t="n">
        <v>0</v>
      </c>
      <c r="P198" s="6" t="n">
        <v>0</v>
      </c>
      <c r="Q198" s="6" t="n">
        <v>0</v>
      </c>
      <c r="R198" s="6" t="n">
        <v>0</v>
      </c>
      <c r="S198" s="6" t="n">
        <v>0</v>
      </c>
      <c r="T198" s="6" t="n">
        <v>0</v>
      </c>
    </row>
    <row r="199" customFormat="false" ht="12.75" hidden="false" customHeight="false" outlineLevel="0" collapsed="false">
      <c r="C199" s="0" t="s">
        <v>20</v>
      </c>
      <c r="F199" s="6" t="n">
        <v>0</v>
      </c>
      <c r="G199" s="6" t="n">
        <v>0</v>
      </c>
      <c r="H199" s="6" t="n">
        <v>0</v>
      </c>
      <c r="I199" s="6" t="n">
        <v>0</v>
      </c>
      <c r="J199" s="6" t="n">
        <v>0</v>
      </c>
      <c r="K199" s="6" t="n">
        <v>0</v>
      </c>
      <c r="L199" s="6" t="n">
        <v>0</v>
      </c>
      <c r="M199" s="6" t="n">
        <v>0</v>
      </c>
      <c r="N199" s="6" t="n">
        <v>0</v>
      </c>
      <c r="O199" s="6" t="n">
        <v>0</v>
      </c>
      <c r="P199" s="6" t="n">
        <v>0</v>
      </c>
      <c r="Q199" s="6" t="n">
        <v>0</v>
      </c>
      <c r="R199" s="6" t="n">
        <v>0</v>
      </c>
      <c r="S199" s="6" t="n">
        <v>0</v>
      </c>
      <c r="T199" s="6" t="n">
        <v>0</v>
      </c>
    </row>
    <row r="200" customFormat="false" ht="12.75" hidden="false" customHeight="false" outlineLevel="0" collapsed="false">
      <c r="C200" s="0" t="s">
        <v>22</v>
      </c>
      <c r="F200" s="4" t="s">
        <v>60</v>
      </c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customFormat="false" ht="12.75" hidden="false" customHeight="false" outlineLevel="0" collapsed="false"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customFormat="false" ht="12.75" hidden="false" customHeight="false" outlineLevel="0" collapsed="false">
      <c r="B202" s="1" t="s">
        <v>58</v>
      </c>
      <c r="C202" s="1" t="s">
        <v>61</v>
      </c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customFormat="false" ht="12.75" hidden="false" customHeight="false" outlineLevel="0" collapsed="false">
      <c r="D203" s="0" t="s">
        <v>17</v>
      </c>
      <c r="F203" s="4" t="n">
        <f aca="false">$F$17+$F$18</f>
        <v>0.2275</v>
      </c>
      <c r="G203" s="4" t="n">
        <f aca="false">$G$17+$G$18</f>
        <v>0.2275</v>
      </c>
      <c r="H203" s="4" t="n">
        <f aca="false">$H$17+$H$18</f>
        <v>0.1975</v>
      </c>
      <c r="I203" s="4" t="n">
        <f aca="false">$I$17+$I$18</f>
        <v>0.1575</v>
      </c>
      <c r="J203" s="4" t="n">
        <f aca="false">$J$17+$J$18</f>
        <v>0.1175</v>
      </c>
      <c r="K203" s="4" t="n">
        <f aca="false">$K$17+$K$18</f>
        <v>0.1175</v>
      </c>
      <c r="L203" s="4" t="n">
        <f aca="false">$L$17+$L$18</f>
        <v>0.1175</v>
      </c>
      <c r="M203" s="4" t="n">
        <f aca="false">$M$17+$M$18</f>
        <v>0.1175</v>
      </c>
      <c r="N203" s="4" t="n">
        <f aca="false">$N$17+$N$18</f>
        <v>0.1175</v>
      </c>
      <c r="O203" s="4" t="n">
        <f aca="false">$O$17+$O$18</f>
        <v>0.1575</v>
      </c>
      <c r="P203" s="4" t="n">
        <f aca="false">$P$17+$P$18</f>
        <v>0.2025</v>
      </c>
      <c r="Q203" s="4" t="n">
        <f aca="false">$Q$17+$Q$18</f>
        <v>0.2125</v>
      </c>
      <c r="R203" s="4" t="n">
        <f aca="false">$R$17+$R$18</f>
        <v>0.2325</v>
      </c>
      <c r="S203" s="4" t="n">
        <f aca="false">$S$17+$S$18</f>
        <v>0.2325</v>
      </c>
      <c r="T203" s="4" t="n">
        <f aca="false">$T$17+$T$18</f>
        <v>0.2025</v>
      </c>
    </row>
    <row r="204" customFormat="false" ht="12.75" hidden="false" customHeight="false" outlineLevel="0" collapsed="false">
      <c r="D204" s="0" t="s">
        <v>18</v>
      </c>
      <c r="F204" s="4" t="n">
        <f aca="false">$F$17+$F$18</f>
        <v>0.2275</v>
      </c>
      <c r="G204" s="4" t="n">
        <f aca="false">$G$17+$G$18</f>
        <v>0.2275</v>
      </c>
      <c r="H204" s="4" t="n">
        <f aca="false">$H$17+$H$18</f>
        <v>0.1975</v>
      </c>
      <c r="I204" s="4" t="n">
        <f aca="false">$I$17+$I$18</f>
        <v>0.1575</v>
      </c>
      <c r="J204" s="4" t="n">
        <f aca="false">$J$17+$J$18</f>
        <v>0.1175</v>
      </c>
      <c r="K204" s="4" t="n">
        <f aca="false">$K$17+$K$18</f>
        <v>0.1175</v>
      </c>
      <c r="L204" s="4" t="n">
        <f aca="false">$L$17+$L$18</f>
        <v>0.1175</v>
      </c>
      <c r="M204" s="4" t="n">
        <f aca="false">$M$17+$M$18</f>
        <v>0.1175</v>
      </c>
      <c r="N204" s="4" t="n">
        <f aca="false">$N$17+$N$18</f>
        <v>0.1175</v>
      </c>
      <c r="O204" s="4" t="n">
        <f aca="false">$O$17+$O$18</f>
        <v>0.1575</v>
      </c>
      <c r="P204" s="4" t="n">
        <f aca="false">$P$17+$P$18</f>
        <v>0.2025</v>
      </c>
      <c r="Q204" s="4" t="n">
        <f aca="false">$Q$17+$Q$18</f>
        <v>0.2125</v>
      </c>
      <c r="R204" s="4" t="n">
        <f aca="false">$R$17+$R$18</f>
        <v>0.2325</v>
      </c>
      <c r="S204" s="4" t="n">
        <f aca="false">$S$17+$S$18</f>
        <v>0.2325</v>
      </c>
      <c r="T204" s="4" t="n">
        <f aca="false">$T$17+$T$18</f>
        <v>0.2025</v>
      </c>
    </row>
    <row r="205" customFormat="false" ht="12.75" hidden="false" customHeight="false" outlineLevel="0" collapsed="false"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customFormat="false" ht="12.75" hidden="true" customHeight="false" outlineLevel="0" collapsed="false">
      <c r="C206" s="0" t="s">
        <v>19</v>
      </c>
      <c r="F206" s="7" t="n">
        <v>4517</v>
      </c>
      <c r="G206" s="7" t="n">
        <v>4454</v>
      </c>
      <c r="H206" s="7" t="n">
        <v>4779</v>
      </c>
      <c r="I206" s="7" t="n">
        <v>3354</v>
      </c>
      <c r="J206" s="7" t="n">
        <v>3183</v>
      </c>
      <c r="K206" s="7" t="n">
        <v>2165</v>
      </c>
      <c r="L206" s="7" t="n">
        <v>1298</v>
      </c>
      <c r="M206" s="7" t="n">
        <v>1753</v>
      </c>
      <c r="N206" s="7" t="n">
        <v>2050</v>
      </c>
      <c r="O206" s="7" t="n">
        <v>3137</v>
      </c>
      <c r="P206" s="6" t="n">
        <v>0</v>
      </c>
      <c r="Q206" s="6" t="n">
        <v>0</v>
      </c>
      <c r="R206" s="6" t="n">
        <v>0</v>
      </c>
      <c r="S206" s="6" t="n">
        <v>0</v>
      </c>
      <c r="T206" s="6" t="n">
        <v>0</v>
      </c>
    </row>
    <row r="207" customFormat="false" ht="12.75" hidden="false" customHeight="false" outlineLevel="0" collapsed="false">
      <c r="A207" s="8"/>
      <c r="B207" s="8"/>
      <c r="C207" s="0" t="s">
        <v>19</v>
      </c>
      <c r="D207" s="8"/>
      <c r="E207" s="8"/>
      <c r="F207" s="9" t="n">
        <f aca="false">F206/31</f>
        <v>145.709677419355</v>
      </c>
      <c r="G207" s="9" t="n">
        <f aca="false">G206/29</f>
        <v>153.586206896552</v>
      </c>
      <c r="H207" s="9" t="n">
        <f aca="false">H206/31</f>
        <v>154.161290322581</v>
      </c>
      <c r="I207" s="9" t="n">
        <f aca="false">I206/30</f>
        <v>111.8</v>
      </c>
      <c r="J207" s="9" t="n">
        <f aca="false">J206/31</f>
        <v>102.677419354839</v>
      </c>
      <c r="K207" s="9" t="n">
        <f aca="false">K206/30</f>
        <v>72.1666666666667</v>
      </c>
      <c r="L207" s="9" t="n">
        <f aca="false">L206/31</f>
        <v>41.8709677419355</v>
      </c>
      <c r="M207" s="9" t="n">
        <f aca="false">M206/31</f>
        <v>56.5483870967742</v>
      </c>
      <c r="N207" s="9" t="n">
        <f aca="false">N206/30</f>
        <v>68.3333333333333</v>
      </c>
      <c r="O207" s="9" t="n">
        <f aca="false">O206/31</f>
        <v>101.193548387097</v>
      </c>
      <c r="P207" s="9" t="n">
        <f aca="false">P206/30</f>
        <v>0</v>
      </c>
      <c r="Q207" s="9" t="n">
        <f aca="false">Q206/31</f>
        <v>0</v>
      </c>
      <c r="R207" s="9" t="n">
        <f aca="false">R206/31</f>
        <v>0</v>
      </c>
      <c r="S207" s="9" t="n">
        <f aca="false">S206/28</f>
        <v>0</v>
      </c>
      <c r="T207" s="9" t="n">
        <f aca="false">T206/31</f>
        <v>0</v>
      </c>
    </row>
    <row r="208" customFormat="false" ht="12.75" hidden="false" customHeight="false" outlineLevel="0" collapsed="false">
      <c r="C208" s="0" t="s">
        <v>20</v>
      </c>
      <c r="F208" s="6" t="n">
        <v>0</v>
      </c>
      <c r="G208" s="6" t="n">
        <v>0</v>
      </c>
      <c r="H208" s="6" t="n">
        <v>0</v>
      </c>
      <c r="I208" s="6" t="n">
        <v>0</v>
      </c>
      <c r="J208" s="6" t="n">
        <v>0</v>
      </c>
      <c r="K208" s="6" t="n">
        <v>0</v>
      </c>
      <c r="L208" s="6" t="n">
        <v>0</v>
      </c>
      <c r="M208" s="6" t="n">
        <v>0</v>
      </c>
      <c r="N208" s="6" t="n">
        <v>0</v>
      </c>
      <c r="O208" s="6" t="n">
        <v>0</v>
      </c>
      <c r="P208" s="6" t="n">
        <v>0</v>
      </c>
      <c r="Q208" s="6" t="n">
        <v>0</v>
      </c>
      <c r="R208" s="6" t="n">
        <v>0</v>
      </c>
      <c r="S208" s="6" t="n">
        <v>0</v>
      </c>
      <c r="T208" s="6" t="n">
        <v>0</v>
      </c>
    </row>
    <row r="209" customFormat="false" ht="12.75" hidden="false" customHeight="false" outlineLevel="0" collapsed="false">
      <c r="C209" s="0" t="s">
        <v>21</v>
      </c>
      <c r="F209" s="6" t="n">
        <v>0</v>
      </c>
      <c r="G209" s="6" t="n">
        <v>0</v>
      </c>
      <c r="H209" s="6" t="n">
        <v>0</v>
      </c>
      <c r="I209" s="6" t="n">
        <v>0</v>
      </c>
      <c r="J209" s="6" t="n">
        <v>0</v>
      </c>
      <c r="K209" s="6" t="n">
        <v>0</v>
      </c>
      <c r="L209" s="6" t="n">
        <v>0</v>
      </c>
      <c r="M209" s="6" t="n">
        <v>0</v>
      </c>
      <c r="N209" s="6" t="n">
        <v>0</v>
      </c>
      <c r="O209" s="6" t="n">
        <v>0</v>
      </c>
      <c r="P209" s="6" t="n">
        <v>0</v>
      </c>
      <c r="Q209" s="6" t="n">
        <v>0</v>
      </c>
      <c r="R209" s="6" t="n">
        <v>0</v>
      </c>
      <c r="S209" s="6" t="n">
        <v>0</v>
      </c>
      <c r="T209" s="6" t="n">
        <v>0</v>
      </c>
    </row>
    <row r="210" customFormat="false" ht="12.75" hidden="false" customHeight="false" outlineLevel="0" collapsed="false">
      <c r="C210" s="0" t="s">
        <v>20</v>
      </c>
      <c r="F210" s="6" t="n">
        <v>0</v>
      </c>
      <c r="G210" s="6" t="n">
        <v>0</v>
      </c>
      <c r="H210" s="6" t="n">
        <v>0</v>
      </c>
      <c r="I210" s="6" t="n">
        <v>0</v>
      </c>
      <c r="J210" s="6" t="n">
        <v>0</v>
      </c>
      <c r="K210" s="6" t="n">
        <v>0</v>
      </c>
      <c r="L210" s="6" t="n">
        <v>0</v>
      </c>
      <c r="M210" s="6" t="n">
        <v>0</v>
      </c>
      <c r="N210" s="6" t="n">
        <v>0</v>
      </c>
      <c r="O210" s="6" t="n">
        <v>0</v>
      </c>
      <c r="P210" s="6" t="n">
        <v>0</v>
      </c>
      <c r="Q210" s="6" t="n">
        <v>0</v>
      </c>
      <c r="R210" s="6" t="n">
        <v>0</v>
      </c>
      <c r="S210" s="6" t="n">
        <v>0</v>
      </c>
      <c r="T210" s="6" t="n">
        <v>0</v>
      </c>
    </row>
    <row r="211" customFormat="false" ht="12.75" hidden="false" customHeight="false" outlineLevel="0" collapsed="false">
      <c r="C211" s="0" t="s">
        <v>22</v>
      </c>
      <c r="F211" s="4" t="s">
        <v>62</v>
      </c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customFormat="false" ht="12.75" hidden="false" customHeight="false" outlineLevel="0" collapsed="false"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customFormat="false" ht="12.75" hidden="false" customHeight="false" outlineLevel="0" collapsed="false">
      <c r="B213" s="1" t="s">
        <v>58</v>
      </c>
      <c r="C213" s="1" t="s">
        <v>63</v>
      </c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customFormat="false" ht="12.75" hidden="false" customHeight="false" outlineLevel="0" collapsed="false">
      <c r="D214" s="0" t="s">
        <v>17</v>
      </c>
      <c r="F214" s="4" t="n">
        <f aca="false">$F$17+$F$18</f>
        <v>0.2275</v>
      </c>
      <c r="G214" s="4" t="n">
        <f aca="false">$G$17+$G$18</f>
        <v>0.2275</v>
      </c>
      <c r="H214" s="4" t="n">
        <f aca="false">$H$17+$H$18</f>
        <v>0.1975</v>
      </c>
      <c r="I214" s="4" t="n">
        <f aca="false">$I$17+$I$18</f>
        <v>0.1575</v>
      </c>
      <c r="J214" s="4" t="n">
        <f aca="false">$J$17+$J$18</f>
        <v>0.1175</v>
      </c>
      <c r="K214" s="4" t="n">
        <f aca="false">$K$17+$K$18</f>
        <v>0.1175</v>
      </c>
      <c r="L214" s="4" t="n">
        <f aca="false">$L$17+$L$18</f>
        <v>0.1175</v>
      </c>
      <c r="M214" s="4" t="n">
        <f aca="false">$M$17+$M$18</f>
        <v>0.1175</v>
      </c>
      <c r="N214" s="4" t="n">
        <f aca="false">$N$17+$N$18</f>
        <v>0.1175</v>
      </c>
      <c r="O214" s="4" t="n">
        <f aca="false">$O$17+$O$18</f>
        <v>0.1575</v>
      </c>
      <c r="P214" s="4" t="n">
        <f aca="false">$P$17+$P$18</f>
        <v>0.2025</v>
      </c>
      <c r="Q214" s="4" t="n">
        <f aca="false">$Q$17+$Q$18</f>
        <v>0.2125</v>
      </c>
      <c r="R214" s="4" t="n">
        <f aca="false">$R$17+$R$18</f>
        <v>0.2325</v>
      </c>
      <c r="S214" s="4" t="n">
        <f aca="false">$S$17+$S$18</f>
        <v>0.2325</v>
      </c>
      <c r="T214" s="4" t="n">
        <f aca="false">$T$17+$T$18</f>
        <v>0.2025</v>
      </c>
    </row>
    <row r="215" customFormat="false" ht="12.75" hidden="false" customHeight="false" outlineLevel="0" collapsed="false">
      <c r="D215" s="0" t="s">
        <v>18</v>
      </c>
      <c r="F215" s="4" t="n">
        <f aca="false">$F$17+$F$18</f>
        <v>0.2275</v>
      </c>
      <c r="G215" s="4" t="n">
        <f aca="false">$G$17+$G$18</f>
        <v>0.2275</v>
      </c>
      <c r="H215" s="4" t="n">
        <f aca="false">$H$17+$H$18</f>
        <v>0.1975</v>
      </c>
      <c r="I215" s="4" t="n">
        <f aca="false">$I$17+$I$18</f>
        <v>0.1575</v>
      </c>
      <c r="J215" s="4" t="n">
        <f aca="false">$J$17+$J$18</f>
        <v>0.1175</v>
      </c>
      <c r="K215" s="4" t="n">
        <f aca="false">$K$17+$K$18</f>
        <v>0.1175</v>
      </c>
      <c r="L215" s="4" t="n">
        <f aca="false">$L$17+$L$18</f>
        <v>0.1175</v>
      </c>
      <c r="M215" s="4" t="n">
        <f aca="false">$M$17+$M$18</f>
        <v>0.1175</v>
      </c>
      <c r="N215" s="4" t="n">
        <f aca="false">$N$17+$N$18</f>
        <v>0.1175</v>
      </c>
      <c r="O215" s="4" t="n">
        <f aca="false">$O$17+$O$18</f>
        <v>0.1575</v>
      </c>
      <c r="P215" s="4" t="n">
        <f aca="false">$P$17+$P$18</f>
        <v>0.2025</v>
      </c>
      <c r="Q215" s="4" t="n">
        <f aca="false">$Q$17+$Q$18</f>
        <v>0.2125</v>
      </c>
      <c r="R215" s="4" t="n">
        <f aca="false">$R$17+$R$18</f>
        <v>0.2325</v>
      </c>
      <c r="S215" s="4" t="n">
        <f aca="false">$S$17+$S$18</f>
        <v>0.2325</v>
      </c>
      <c r="T215" s="4" t="n">
        <f aca="false">$T$17+$T$18</f>
        <v>0.2025</v>
      </c>
    </row>
    <row r="216" customFormat="false" ht="12.75" hidden="false" customHeight="false" outlineLevel="0" collapsed="false"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</row>
    <row r="217" customFormat="false" ht="12.75" hidden="true" customHeight="false" outlineLevel="0" collapsed="false">
      <c r="C217" s="0" t="s">
        <v>19</v>
      </c>
      <c r="F217" s="10" t="n">
        <v>44543</v>
      </c>
      <c r="G217" s="10" t="n">
        <v>38481</v>
      </c>
      <c r="H217" s="10" t="n">
        <v>35650</v>
      </c>
      <c r="I217" s="10" t="n">
        <v>32650</v>
      </c>
      <c r="J217" s="10" t="n">
        <v>21505</v>
      </c>
      <c r="K217" s="10" t="n">
        <v>17059</v>
      </c>
      <c r="L217" s="10" t="n">
        <v>16152</v>
      </c>
      <c r="M217" s="10" t="n">
        <v>12865</v>
      </c>
      <c r="N217" s="10" t="n">
        <v>12360</v>
      </c>
      <c r="O217" s="10" t="n">
        <v>4525</v>
      </c>
      <c r="P217" s="10" t="n">
        <v>3734</v>
      </c>
      <c r="Q217" s="6" t="n">
        <v>0</v>
      </c>
      <c r="R217" s="6" t="n">
        <v>0</v>
      </c>
      <c r="S217" s="6" t="n">
        <v>0</v>
      </c>
      <c r="T217" s="6" t="n">
        <v>0</v>
      </c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</row>
    <row r="218" customFormat="false" ht="12.75" hidden="false" customHeight="false" outlineLevel="0" collapsed="false">
      <c r="A218" s="8"/>
      <c r="B218" s="8"/>
      <c r="C218" s="0" t="s">
        <v>19</v>
      </c>
      <c r="D218" s="8"/>
      <c r="E218" s="8"/>
      <c r="F218" s="10" t="n">
        <f aca="false">F217/31</f>
        <v>1436.87096774194</v>
      </c>
      <c r="G218" s="10" t="n">
        <f aca="false">G217/29</f>
        <v>1326.93103448276</v>
      </c>
      <c r="H218" s="10" t="n">
        <f aca="false">H217/31</f>
        <v>1150</v>
      </c>
      <c r="I218" s="10" t="n">
        <f aca="false">I217/30</f>
        <v>1088.33333333333</v>
      </c>
      <c r="J218" s="10" t="n">
        <f aca="false">J217/31</f>
        <v>693.709677419355</v>
      </c>
      <c r="K218" s="10" t="n">
        <f aca="false">K217/30</f>
        <v>568.633333333333</v>
      </c>
      <c r="L218" s="10" t="n">
        <f aca="false">L217/31</f>
        <v>521.032258064516</v>
      </c>
      <c r="M218" s="10" t="n">
        <f aca="false">M217/31</f>
        <v>415</v>
      </c>
      <c r="N218" s="10" t="n">
        <f aca="false">N217/30</f>
        <v>412</v>
      </c>
      <c r="O218" s="10" t="n">
        <f aca="false">O217/31</f>
        <v>145.967741935484</v>
      </c>
      <c r="P218" s="10" t="n">
        <f aca="false">P217/30</f>
        <v>124.466666666667</v>
      </c>
      <c r="Q218" s="10" t="n">
        <f aca="false">Q217/31</f>
        <v>0</v>
      </c>
      <c r="R218" s="10" t="n">
        <f aca="false">R217/31</f>
        <v>0</v>
      </c>
      <c r="S218" s="10" t="n">
        <f aca="false">S217/28</f>
        <v>0</v>
      </c>
      <c r="T218" s="10" t="n">
        <f aca="false">T217/31</f>
        <v>0</v>
      </c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</row>
    <row r="219" customFormat="false" ht="12.75" hidden="false" customHeight="false" outlineLevel="0" collapsed="false">
      <c r="C219" s="0" t="s">
        <v>20</v>
      </c>
      <c r="F219" s="6" t="n">
        <v>0</v>
      </c>
      <c r="G219" s="6" t="n">
        <v>0</v>
      </c>
      <c r="H219" s="6" t="n">
        <v>0</v>
      </c>
      <c r="I219" s="6" t="n">
        <v>0</v>
      </c>
      <c r="J219" s="6" t="n">
        <v>0</v>
      </c>
      <c r="K219" s="6" t="n">
        <v>0</v>
      </c>
      <c r="L219" s="6" t="n">
        <v>0</v>
      </c>
      <c r="M219" s="6" t="n">
        <v>0</v>
      </c>
      <c r="N219" s="6" t="n">
        <v>0</v>
      </c>
      <c r="O219" s="6" t="n">
        <v>0</v>
      </c>
      <c r="P219" s="6" t="n">
        <v>0</v>
      </c>
      <c r="Q219" s="6" t="n">
        <v>0</v>
      </c>
      <c r="R219" s="6" t="n">
        <v>0</v>
      </c>
      <c r="S219" s="6" t="n">
        <v>0</v>
      </c>
      <c r="T219" s="6" t="n">
        <v>0</v>
      </c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</row>
    <row r="220" customFormat="false" ht="12.75" hidden="false" customHeight="false" outlineLevel="0" collapsed="false">
      <c r="C220" s="0" t="s">
        <v>21</v>
      </c>
      <c r="F220" s="6" t="n">
        <v>0</v>
      </c>
      <c r="G220" s="6" t="n">
        <v>0</v>
      </c>
      <c r="H220" s="6" t="n">
        <v>0</v>
      </c>
      <c r="I220" s="6" t="n">
        <v>0</v>
      </c>
      <c r="J220" s="6" t="n">
        <v>0</v>
      </c>
      <c r="K220" s="6" t="n">
        <v>0</v>
      </c>
      <c r="L220" s="6" t="n">
        <v>0</v>
      </c>
      <c r="M220" s="6" t="n">
        <v>0</v>
      </c>
      <c r="N220" s="6" t="n">
        <v>0</v>
      </c>
      <c r="O220" s="6" t="n">
        <v>0</v>
      </c>
      <c r="P220" s="6" t="n">
        <v>0</v>
      </c>
      <c r="Q220" s="6" t="n">
        <v>0</v>
      </c>
      <c r="R220" s="6" t="n">
        <v>0</v>
      </c>
      <c r="S220" s="6" t="n">
        <v>0</v>
      </c>
      <c r="T220" s="6" t="n">
        <v>0</v>
      </c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</row>
    <row r="221" customFormat="false" ht="12.75" hidden="false" customHeight="false" outlineLevel="0" collapsed="false">
      <c r="C221" s="0" t="s">
        <v>20</v>
      </c>
      <c r="F221" s="6" t="n">
        <v>0</v>
      </c>
      <c r="G221" s="6" t="n">
        <v>0</v>
      </c>
      <c r="H221" s="6" t="n">
        <v>0</v>
      </c>
      <c r="I221" s="6" t="n">
        <v>0</v>
      </c>
      <c r="J221" s="6" t="n">
        <v>0</v>
      </c>
      <c r="K221" s="6" t="n">
        <v>0</v>
      </c>
      <c r="L221" s="6" t="n">
        <v>0</v>
      </c>
      <c r="M221" s="6" t="n">
        <v>0</v>
      </c>
      <c r="N221" s="6" t="n">
        <v>0</v>
      </c>
      <c r="O221" s="6" t="n">
        <v>0</v>
      </c>
      <c r="P221" s="6" t="n">
        <v>0</v>
      </c>
      <c r="Q221" s="6" t="n">
        <v>0</v>
      </c>
      <c r="R221" s="6" t="n">
        <v>0</v>
      </c>
      <c r="S221" s="6" t="n">
        <v>0</v>
      </c>
      <c r="T221" s="6" t="n">
        <v>0</v>
      </c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</row>
    <row r="222" customFormat="false" ht="12.75" hidden="false" customHeight="false" outlineLevel="0" collapsed="false">
      <c r="C222" s="0" t="s">
        <v>22</v>
      </c>
      <c r="F222" s="4" t="s">
        <v>64</v>
      </c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customFormat="false" ht="12.75" hidden="false" customHeight="false" outlineLevel="0" collapsed="false"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customFormat="false" ht="12.75" hidden="false" customHeight="false" outlineLevel="0" collapsed="false">
      <c r="B224" s="1" t="s">
        <v>58</v>
      </c>
      <c r="C224" s="1" t="s">
        <v>65</v>
      </c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customFormat="false" ht="12.75" hidden="false" customHeight="false" outlineLevel="0" collapsed="false">
      <c r="D225" s="0" t="s">
        <v>17</v>
      </c>
      <c r="F225" s="4" t="n">
        <f aca="false">$F$17+$F$18</f>
        <v>0.2275</v>
      </c>
      <c r="G225" s="4" t="n">
        <f aca="false">$G$17+$G$18</f>
        <v>0.2275</v>
      </c>
      <c r="H225" s="4" t="n">
        <f aca="false">$H$17+$H$18</f>
        <v>0.1975</v>
      </c>
      <c r="I225" s="4" t="n">
        <f aca="false">$I$17+$I$18</f>
        <v>0.1575</v>
      </c>
      <c r="J225" s="4" t="n">
        <f aca="false">$J$17+$J$18</f>
        <v>0.1175</v>
      </c>
      <c r="K225" s="4" t="n">
        <f aca="false">$K$17+$K$18</f>
        <v>0.1175</v>
      </c>
      <c r="L225" s="4" t="n">
        <f aca="false">$L$17+$L$18</f>
        <v>0.1175</v>
      </c>
      <c r="M225" s="4" t="n">
        <f aca="false">$M$17+$M$18</f>
        <v>0.1175</v>
      </c>
      <c r="N225" s="4" t="n">
        <f aca="false">$N$17+$N$18</f>
        <v>0.1175</v>
      </c>
      <c r="O225" s="4" t="n">
        <f aca="false">$O$17+$O$18</f>
        <v>0.1575</v>
      </c>
      <c r="P225" s="4" t="n">
        <f aca="false">$P$17+$P$18</f>
        <v>0.2025</v>
      </c>
      <c r="Q225" s="4" t="n">
        <f aca="false">$Q$17+$Q$18</f>
        <v>0.2125</v>
      </c>
      <c r="R225" s="4" t="n">
        <f aca="false">$R$17+$R$18</f>
        <v>0.2325</v>
      </c>
      <c r="S225" s="4" t="n">
        <f aca="false">$S$17+$S$18</f>
        <v>0.2325</v>
      </c>
      <c r="T225" s="4" t="n">
        <f aca="false">$T$17+$T$18</f>
        <v>0.2025</v>
      </c>
    </row>
    <row r="226" customFormat="false" ht="12.75" hidden="false" customHeight="false" outlineLevel="0" collapsed="false">
      <c r="D226" s="0" t="s">
        <v>18</v>
      </c>
      <c r="F226" s="4" t="n">
        <f aca="false">$F$17+$F$18</f>
        <v>0.2275</v>
      </c>
      <c r="G226" s="4" t="n">
        <f aca="false">$G$17+$G$18</f>
        <v>0.2275</v>
      </c>
      <c r="H226" s="4" t="n">
        <f aca="false">$H$17+$H$18</f>
        <v>0.1975</v>
      </c>
      <c r="I226" s="4" t="n">
        <f aca="false">$I$17+$I$18</f>
        <v>0.1575</v>
      </c>
      <c r="J226" s="4" t="n">
        <f aca="false">$J$17+$J$18</f>
        <v>0.1175</v>
      </c>
      <c r="K226" s="4" t="n">
        <f aca="false">$K$17+$K$18</f>
        <v>0.1175</v>
      </c>
      <c r="L226" s="4" t="n">
        <f aca="false">$L$17+$L$18</f>
        <v>0.1175</v>
      </c>
      <c r="M226" s="4" t="n">
        <f aca="false">$M$17+$M$18</f>
        <v>0.1175</v>
      </c>
      <c r="N226" s="4" t="n">
        <f aca="false">$N$17+$N$18</f>
        <v>0.1175</v>
      </c>
      <c r="O226" s="4" t="n">
        <f aca="false">$O$17+$O$18</f>
        <v>0.1575</v>
      </c>
      <c r="P226" s="4" t="n">
        <f aca="false">$P$17+$P$18</f>
        <v>0.2025</v>
      </c>
      <c r="Q226" s="4" t="n">
        <f aca="false">$Q$17+$Q$18</f>
        <v>0.2125</v>
      </c>
      <c r="R226" s="4" t="n">
        <f aca="false">$R$17+$R$18</f>
        <v>0.2325</v>
      </c>
      <c r="S226" s="4" t="n">
        <f aca="false">$S$17+$S$18</f>
        <v>0.2325</v>
      </c>
      <c r="T226" s="4" t="n">
        <f aca="false">$T$17+$T$18</f>
        <v>0.2025</v>
      </c>
    </row>
    <row r="227" customFormat="false" ht="12.75" hidden="false" customHeight="false" outlineLevel="0" collapsed="false"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customFormat="false" ht="12.75" hidden="false" customHeight="false" outlineLevel="0" collapsed="false">
      <c r="C228" s="0" t="s">
        <v>19</v>
      </c>
      <c r="F228" s="6" t="n">
        <v>0</v>
      </c>
      <c r="G228" s="6" t="n">
        <v>0</v>
      </c>
      <c r="H228" s="6" t="n">
        <v>0</v>
      </c>
      <c r="I228" s="6" t="n">
        <v>0</v>
      </c>
      <c r="J228" s="6" t="n">
        <v>0</v>
      </c>
      <c r="K228" s="6" t="n">
        <v>0</v>
      </c>
      <c r="L228" s="6" t="n">
        <v>0</v>
      </c>
      <c r="M228" s="6" t="n">
        <v>0</v>
      </c>
      <c r="N228" s="6" t="n">
        <v>0</v>
      </c>
      <c r="O228" s="6" t="n">
        <v>0</v>
      </c>
      <c r="P228" s="6" t="n">
        <v>0</v>
      </c>
      <c r="Q228" s="6" t="n">
        <v>0</v>
      </c>
      <c r="R228" s="6" t="n">
        <v>0</v>
      </c>
      <c r="S228" s="6" t="n">
        <v>0</v>
      </c>
      <c r="T228" s="6" t="n">
        <v>0</v>
      </c>
    </row>
    <row r="229" customFormat="false" ht="12.75" hidden="false" customHeight="false" outlineLevel="0" collapsed="false">
      <c r="C229" s="0" t="s">
        <v>20</v>
      </c>
      <c r="F229" s="6" t="n">
        <v>0</v>
      </c>
      <c r="G229" s="6" t="n">
        <v>0</v>
      </c>
      <c r="H229" s="6" t="n">
        <v>0</v>
      </c>
      <c r="I229" s="6" t="n">
        <v>0</v>
      </c>
      <c r="J229" s="6" t="n">
        <v>0</v>
      </c>
      <c r="K229" s="6" t="n">
        <v>0</v>
      </c>
      <c r="L229" s="6" t="n">
        <v>0</v>
      </c>
      <c r="M229" s="6" t="n">
        <v>0</v>
      </c>
      <c r="N229" s="6" t="n">
        <v>0</v>
      </c>
      <c r="O229" s="6" t="n">
        <v>0</v>
      </c>
      <c r="P229" s="6" t="n">
        <v>0</v>
      </c>
      <c r="Q229" s="6" t="n">
        <v>0</v>
      </c>
      <c r="R229" s="6" t="n">
        <v>0</v>
      </c>
      <c r="S229" s="6" t="n">
        <v>0</v>
      </c>
      <c r="T229" s="6" t="n">
        <v>0</v>
      </c>
    </row>
    <row r="230" customFormat="false" ht="12.75" hidden="false" customHeight="false" outlineLevel="0" collapsed="false">
      <c r="C230" s="0" t="s">
        <v>21</v>
      </c>
      <c r="F230" s="6" t="n">
        <v>0</v>
      </c>
      <c r="G230" s="6" t="n">
        <v>0</v>
      </c>
      <c r="H230" s="6" t="n">
        <v>0</v>
      </c>
      <c r="I230" s="6" t="n">
        <v>0</v>
      </c>
      <c r="J230" s="6" t="n">
        <v>0</v>
      </c>
      <c r="K230" s="6" t="n">
        <v>0</v>
      </c>
      <c r="L230" s="6" t="n">
        <v>0</v>
      </c>
      <c r="M230" s="6" t="n">
        <v>0</v>
      </c>
      <c r="N230" s="6" t="n">
        <v>0</v>
      </c>
      <c r="O230" s="6" t="n">
        <v>0</v>
      </c>
      <c r="P230" s="6" t="n">
        <v>0</v>
      </c>
      <c r="Q230" s="6" t="n">
        <v>0</v>
      </c>
      <c r="R230" s="6" t="n">
        <v>0</v>
      </c>
      <c r="S230" s="6" t="n">
        <v>0</v>
      </c>
      <c r="T230" s="6" t="n">
        <v>0</v>
      </c>
    </row>
    <row r="231" customFormat="false" ht="12.75" hidden="false" customHeight="false" outlineLevel="0" collapsed="false">
      <c r="C231" s="0" t="s">
        <v>20</v>
      </c>
      <c r="F231" s="6" t="n">
        <v>0</v>
      </c>
      <c r="G231" s="6" t="n">
        <v>0</v>
      </c>
      <c r="H231" s="6" t="n">
        <v>0</v>
      </c>
      <c r="I231" s="6" t="n">
        <v>0</v>
      </c>
      <c r="J231" s="6" t="n">
        <v>0</v>
      </c>
      <c r="K231" s="6" t="n">
        <v>0</v>
      </c>
      <c r="L231" s="6" t="n">
        <v>0</v>
      </c>
      <c r="M231" s="6" t="n">
        <v>0</v>
      </c>
      <c r="N231" s="6" t="n">
        <v>0</v>
      </c>
      <c r="O231" s="6" t="n">
        <v>0</v>
      </c>
      <c r="P231" s="6" t="n">
        <v>0</v>
      </c>
      <c r="Q231" s="6" t="n">
        <v>0</v>
      </c>
      <c r="R231" s="6" t="n">
        <v>0</v>
      </c>
      <c r="S231" s="6" t="n">
        <v>0</v>
      </c>
      <c r="T231" s="6" t="n">
        <v>0</v>
      </c>
    </row>
    <row r="232" customFormat="false" ht="12.75" hidden="false" customHeight="false" outlineLevel="0" collapsed="false">
      <c r="C232" s="0" t="s">
        <v>22</v>
      </c>
      <c r="F232" s="4" t="s">
        <v>64</v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customFormat="false" ht="12.75" hidden="false" customHeight="false" outlineLevel="0" collapsed="false"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customFormat="false" ht="12.75" hidden="false" customHeight="false" outlineLevel="0" collapsed="false">
      <c r="B234" s="1" t="s">
        <v>58</v>
      </c>
      <c r="C234" s="1" t="s">
        <v>66</v>
      </c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customFormat="false" ht="12.75" hidden="false" customHeight="false" outlineLevel="0" collapsed="false">
      <c r="D235" s="0" t="s">
        <v>17</v>
      </c>
      <c r="F235" s="4" t="n">
        <f aca="false">$F$17+$F$18</f>
        <v>0.2275</v>
      </c>
      <c r="G235" s="4" t="n">
        <f aca="false">$G$17+$G$18</f>
        <v>0.2275</v>
      </c>
      <c r="H235" s="4" t="n">
        <f aca="false">$H$17+$H$18</f>
        <v>0.1975</v>
      </c>
      <c r="I235" s="4" t="n">
        <f aca="false">$I$17+$I$18</f>
        <v>0.1575</v>
      </c>
      <c r="J235" s="4" t="n">
        <f aca="false">$J$17+$J$18</f>
        <v>0.1175</v>
      </c>
      <c r="K235" s="4" t="n">
        <f aca="false">$K$17+$K$18</f>
        <v>0.1175</v>
      </c>
      <c r="L235" s="4" t="n">
        <f aca="false">$L$17+$L$18</f>
        <v>0.1175</v>
      </c>
      <c r="M235" s="4" t="n">
        <f aca="false">$M$17+$M$18</f>
        <v>0.1175</v>
      </c>
      <c r="N235" s="4" t="n">
        <f aca="false">$N$17+$N$18</f>
        <v>0.1175</v>
      </c>
      <c r="O235" s="4" t="n">
        <f aca="false">$O$17+$O$18</f>
        <v>0.1575</v>
      </c>
      <c r="P235" s="4" t="n">
        <f aca="false">$P$17+$P$18</f>
        <v>0.2025</v>
      </c>
      <c r="Q235" s="4" t="n">
        <f aca="false">$Q$17+$Q$18</f>
        <v>0.2125</v>
      </c>
      <c r="R235" s="4" t="n">
        <f aca="false">$R$17+$R$18</f>
        <v>0.2325</v>
      </c>
      <c r="S235" s="4" t="n">
        <f aca="false">$S$17+$S$18</f>
        <v>0.2325</v>
      </c>
      <c r="T235" s="4" t="n">
        <f aca="false">$T$17+$T$18</f>
        <v>0.2025</v>
      </c>
    </row>
    <row r="236" customFormat="false" ht="12.75" hidden="false" customHeight="false" outlineLevel="0" collapsed="false">
      <c r="D236" s="0" t="s">
        <v>18</v>
      </c>
      <c r="F236" s="4" t="n">
        <f aca="false">$F$17+$F$18</f>
        <v>0.2275</v>
      </c>
      <c r="G236" s="4" t="n">
        <f aca="false">$G$17+$G$18</f>
        <v>0.2275</v>
      </c>
      <c r="H236" s="4" t="n">
        <f aca="false">$H$17+$H$18</f>
        <v>0.1975</v>
      </c>
      <c r="I236" s="4" t="n">
        <f aca="false">$I$17+$I$18</f>
        <v>0.1575</v>
      </c>
      <c r="J236" s="4" t="n">
        <f aca="false">$J$17+$J$18</f>
        <v>0.1175</v>
      </c>
      <c r="K236" s="4" t="n">
        <f aca="false">$K$17+$K$18</f>
        <v>0.1175</v>
      </c>
      <c r="L236" s="4" t="n">
        <f aca="false">$L$17+$L$18</f>
        <v>0.1175</v>
      </c>
      <c r="M236" s="4" t="n">
        <f aca="false">$M$17+$M$18</f>
        <v>0.1175</v>
      </c>
      <c r="N236" s="4" t="n">
        <f aca="false">$N$17+$N$18</f>
        <v>0.1175</v>
      </c>
      <c r="O236" s="4" t="n">
        <f aca="false">$O$17+$O$18</f>
        <v>0.1575</v>
      </c>
      <c r="P236" s="4" t="n">
        <f aca="false">$P$17+$P$18</f>
        <v>0.2025</v>
      </c>
      <c r="Q236" s="4" t="n">
        <f aca="false">$Q$17+$Q$18</f>
        <v>0.2125</v>
      </c>
      <c r="R236" s="4" t="n">
        <f aca="false">$R$17+$R$18</f>
        <v>0.2325</v>
      </c>
      <c r="S236" s="4" t="n">
        <f aca="false">$S$17+$S$18</f>
        <v>0.2325</v>
      </c>
      <c r="T236" s="4" t="n">
        <f aca="false">$T$17+$T$18</f>
        <v>0.2025</v>
      </c>
    </row>
    <row r="237" customFormat="false" ht="12.75" hidden="false" customHeight="false" outlineLevel="0" collapsed="false"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customFormat="false" ht="12.75" hidden="false" customHeight="false" outlineLevel="0" collapsed="false">
      <c r="C238" s="0" t="s">
        <v>19</v>
      </c>
      <c r="F238" s="6" t="n">
        <v>0</v>
      </c>
      <c r="G238" s="6" t="n">
        <v>0</v>
      </c>
      <c r="H238" s="6" t="n">
        <v>0</v>
      </c>
      <c r="I238" s="6" t="n">
        <v>0</v>
      </c>
      <c r="J238" s="6" t="n">
        <v>0</v>
      </c>
      <c r="K238" s="6" t="n">
        <v>0</v>
      </c>
      <c r="L238" s="6" t="n">
        <v>0</v>
      </c>
      <c r="M238" s="6" t="n">
        <v>0</v>
      </c>
      <c r="N238" s="6" t="n">
        <v>0</v>
      </c>
      <c r="O238" s="6" t="n">
        <v>0</v>
      </c>
      <c r="P238" s="6" t="n">
        <v>0</v>
      </c>
      <c r="Q238" s="6" t="n">
        <v>0</v>
      </c>
      <c r="R238" s="6" t="n">
        <v>0</v>
      </c>
      <c r="S238" s="6" t="n">
        <v>0</v>
      </c>
      <c r="T238" s="6" t="n">
        <v>0</v>
      </c>
    </row>
    <row r="239" customFormat="false" ht="12.75" hidden="false" customHeight="false" outlineLevel="0" collapsed="false">
      <c r="C239" s="0" t="s">
        <v>20</v>
      </c>
      <c r="F239" s="6" t="n">
        <v>0</v>
      </c>
      <c r="G239" s="6" t="n">
        <v>0</v>
      </c>
      <c r="H239" s="6" t="n">
        <v>0</v>
      </c>
      <c r="I239" s="6" t="n">
        <v>0</v>
      </c>
      <c r="J239" s="6" t="n">
        <v>0</v>
      </c>
      <c r="K239" s="6" t="n">
        <v>0</v>
      </c>
      <c r="L239" s="6" t="n">
        <v>0</v>
      </c>
      <c r="M239" s="6" t="n">
        <v>0</v>
      </c>
      <c r="N239" s="6" t="n">
        <v>0</v>
      </c>
      <c r="O239" s="6" t="n">
        <v>0</v>
      </c>
      <c r="P239" s="6" t="n">
        <v>0</v>
      </c>
      <c r="Q239" s="6" t="n">
        <v>0</v>
      </c>
      <c r="R239" s="6" t="n">
        <v>0</v>
      </c>
      <c r="S239" s="6" t="n">
        <v>0</v>
      </c>
      <c r="T239" s="6" t="n">
        <v>0</v>
      </c>
    </row>
    <row r="240" customFormat="false" ht="12.75" hidden="false" customHeight="false" outlineLevel="0" collapsed="false">
      <c r="C240" s="0" t="s">
        <v>21</v>
      </c>
      <c r="F240" s="6" t="n">
        <v>0</v>
      </c>
      <c r="G240" s="6" t="n">
        <v>0</v>
      </c>
      <c r="H240" s="6" t="n">
        <v>0</v>
      </c>
      <c r="I240" s="6" t="n">
        <v>0</v>
      </c>
      <c r="J240" s="6" t="n">
        <v>0</v>
      </c>
      <c r="K240" s="6" t="n">
        <v>0</v>
      </c>
      <c r="L240" s="6" t="n">
        <v>0</v>
      </c>
      <c r="M240" s="6" t="n">
        <v>0</v>
      </c>
      <c r="N240" s="6" t="n">
        <v>0</v>
      </c>
      <c r="O240" s="6" t="n">
        <v>0</v>
      </c>
      <c r="P240" s="6" t="n">
        <v>0</v>
      </c>
      <c r="Q240" s="6" t="n">
        <v>0</v>
      </c>
      <c r="R240" s="6" t="n">
        <v>0</v>
      </c>
      <c r="S240" s="6" t="n">
        <v>0</v>
      </c>
      <c r="T240" s="6" t="n">
        <v>0</v>
      </c>
    </row>
    <row r="241" customFormat="false" ht="12.75" hidden="false" customHeight="false" outlineLevel="0" collapsed="false">
      <c r="C241" s="0" t="s">
        <v>20</v>
      </c>
      <c r="F241" s="6" t="n">
        <v>0</v>
      </c>
      <c r="G241" s="6" t="n">
        <v>0</v>
      </c>
      <c r="H241" s="6" t="n">
        <v>0</v>
      </c>
      <c r="I241" s="6" t="n">
        <v>0</v>
      </c>
      <c r="J241" s="6" t="n">
        <v>0</v>
      </c>
      <c r="K241" s="6" t="n">
        <v>0</v>
      </c>
      <c r="L241" s="6" t="n">
        <v>0</v>
      </c>
      <c r="M241" s="6" t="n">
        <v>0</v>
      </c>
      <c r="N241" s="6" t="n">
        <v>0</v>
      </c>
      <c r="O241" s="6" t="n">
        <v>0</v>
      </c>
      <c r="P241" s="6" t="n">
        <v>0</v>
      </c>
      <c r="Q241" s="6" t="n">
        <v>0</v>
      </c>
      <c r="R241" s="6" t="n">
        <v>0</v>
      </c>
      <c r="S241" s="6" t="n">
        <v>0</v>
      </c>
      <c r="T241" s="6" t="n">
        <v>0</v>
      </c>
    </row>
    <row r="242" customFormat="false" ht="12.75" hidden="false" customHeight="false" outlineLevel="0" collapsed="false">
      <c r="C242" s="0" t="s">
        <v>22</v>
      </c>
      <c r="F242" s="4" t="s">
        <v>64</v>
      </c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customFormat="false" ht="12.75" hidden="false" customHeight="false" outlineLevel="0" collapsed="false"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customFormat="false" ht="12.75" hidden="false" customHeight="false" outlineLevel="0" collapsed="false">
      <c r="B244" s="1" t="s">
        <v>67</v>
      </c>
      <c r="C244" s="1" t="s">
        <v>68</v>
      </c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customFormat="false" ht="12.75" hidden="false" customHeight="false" outlineLevel="0" collapsed="false">
      <c r="D245" s="0" t="s">
        <v>17</v>
      </c>
      <c r="F245" s="4" t="n">
        <f aca="false">$F$17+$F$18</f>
        <v>0.2275</v>
      </c>
      <c r="G245" s="4" t="n">
        <f aca="false">$G$17+$G$18</f>
        <v>0.2275</v>
      </c>
      <c r="H245" s="4" t="n">
        <f aca="false">$H$17+$H$18</f>
        <v>0.1975</v>
      </c>
      <c r="I245" s="4" t="n">
        <f aca="false">$I$17+$I$18</f>
        <v>0.1575</v>
      </c>
      <c r="J245" s="4" t="n">
        <f aca="false">$J$17+$J$18</f>
        <v>0.1175</v>
      </c>
      <c r="K245" s="4" t="n">
        <f aca="false">$K$17+$K$18</f>
        <v>0.1175</v>
      </c>
      <c r="L245" s="4" t="n">
        <f aca="false">$L$17+$L$18</f>
        <v>0.1175</v>
      </c>
      <c r="M245" s="4" t="n">
        <f aca="false">$M$17+$M$18</f>
        <v>0.1175</v>
      </c>
      <c r="N245" s="4" t="n">
        <f aca="false">$N$17+$N$18</f>
        <v>0.1175</v>
      </c>
      <c r="O245" s="4" t="n">
        <f aca="false">$O$17+$O$18</f>
        <v>0.1575</v>
      </c>
      <c r="P245" s="4" t="n">
        <f aca="false">$P$17+$P$18</f>
        <v>0.2025</v>
      </c>
      <c r="Q245" s="4" t="n">
        <f aca="false">$Q$17+$Q$18</f>
        <v>0.2125</v>
      </c>
      <c r="R245" s="4" t="n">
        <f aca="false">$R$17+$R$18</f>
        <v>0.2325</v>
      </c>
      <c r="S245" s="4" t="n">
        <f aca="false">$S$17+$S$18</f>
        <v>0.2325</v>
      </c>
      <c r="T245" s="4" t="n">
        <f aca="false">$T$17+$T$18</f>
        <v>0.2025</v>
      </c>
    </row>
    <row r="246" customFormat="false" ht="12.75" hidden="false" customHeight="false" outlineLevel="0" collapsed="false">
      <c r="D246" s="0" t="s">
        <v>18</v>
      </c>
      <c r="F246" s="4" t="n">
        <f aca="false">$F$17+$F$18</f>
        <v>0.2275</v>
      </c>
      <c r="G246" s="4" t="n">
        <f aca="false">$G$17+$G$18</f>
        <v>0.2275</v>
      </c>
      <c r="H246" s="4" t="n">
        <f aca="false">$H$17+$H$18</f>
        <v>0.1975</v>
      </c>
      <c r="I246" s="4" t="n">
        <f aca="false">$I$17+$I$18</f>
        <v>0.1575</v>
      </c>
      <c r="J246" s="4" t="n">
        <f aca="false">$J$17+$J$18</f>
        <v>0.1175</v>
      </c>
      <c r="K246" s="4" t="n">
        <f aca="false">$K$17+$K$18</f>
        <v>0.1175</v>
      </c>
      <c r="L246" s="4" t="n">
        <f aca="false">$L$17+$L$18</f>
        <v>0.1175</v>
      </c>
      <c r="M246" s="4" t="n">
        <f aca="false">$M$17+$M$18</f>
        <v>0.1175</v>
      </c>
      <c r="N246" s="4" t="n">
        <f aca="false">$N$17+$N$18</f>
        <v>0.1175</v>
      </c>
      <c r="O246" s="4" t="n">
        <f aca="false">$O$17+$O$18</f>
        <v>0.1575</v>
      </c>
      <c r="P246" s="4" t="n">
        <f aca="false">$P$17+$P$18</f>
        <v>0.2025</v>
      </c>
      <c r="Q246" s="4" t="n">
        <f aca="false">$Q$17+$Q$18</f>
        <v>0.2125</v>
      </c>
      <c r="R246" s="4" t="n">
        <f aca="false">$R$17+$R$18</f>
        <v>0.2325</v>
      </c>
      <c r="S246" s="4" t="n">
        <f aca="false">$S$17+$S$18</f>
        <v>0.2325</v>
      </c>
      <c r="T246" s="4" t="n">
        <f aca="false">$T$17+$T$18</f>
        <v>0.2025</v>
      </c>
    </row>
    <row r="247" customFormat="false" ht="12.75" hidden="false" customHeight="false" outlineLevel="0" collapsed="false"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customFormat="false" ht="12.75" hidden="true" customHeight="false" outlineLevel="0" collapsed="false">
      <c r="C248" s="0" t="s">
        <v>19</v>
      </c>
      <c r="F248" s="10" t="n">
        <f aca="false">933695+110000+1227</f>
        <v>1044922</v>
      </c>
      <c r="G248" s="10" t="n">
        <f aca="false">851060+50000+1485</f>
        <v>902545</v>
      </c>
      <c r="H248" s="10" t="n">
        <f aca="false">714231+1813</f>
        <v>716044</v>
      </c>
      <c r="I248" s="10" t="n">
        <f aca="false">83209+1808</f>
        <v>85017</v>
      </c>
      <c r="J248" s="10" t="n">
        <f aca="false">62009+2313</f>
        <v>64322</v>
      </c>
      <c r="K248" s="10" t="n">
        <f aca="false">41414+2505</f>
        <v>43919</v>
      </c>
      <c r="L248" s="10" t="n">
        <f aca="false">37153+2033</f>
        <v>39186</v>
      </c>
      <c r="M248" s="10" t="n">
        <f aca="false">36147+2327</f>
        <v>38474</v>
      </c>
      <c r="N248" s="10" t="n">
        <f aca="false">38788+1777</f>
        <v>40565</v>
      </c>
      <c r="O248" s="10" t="n">
        <f aca="false">49564+1760</f>
        <v>51324</v>
      </c>
      <c r="P248" s="10" t="n">
        <f aca="false">62257+1273</f>
        <v>63530</v>
      </c>
      <c r="Q248" s="10" t="n">
        <f aca="false">65314+1465</f>
        <v>66779</v>
      </c>
      <c r="R248" s="10" t="n">
        <v>50186</v>
      </c>
      <c r="S248" s="10" t="n">
        <v>44952</v>
      </c>
      <c r="T248" s="10" t="n">
        <v>27317</v>
      </c>
      <c r="U248" s="6"/>
      <c r="V248" s="6"/>
      <c r="W248" s="6"/>
      <c r="X248" s="6"/>
    </row>
    <row r="249" customFormat="false" ht="12.75" hidden="false" customHeight="false" outlineLevel="0" collapsed="false">
      <c r="A249" s="8"/>
      <c r="B249" s="8"/>
      <c r="C249" s="0" t="s">
        <v>19</v>
      </c>
      <c r="D249" s="8"/>
      <c r="E249" s="8"/>
      <c r="F249" s="10" t="n">
        <f aca="false">F248/31</f>
        <v>33707.1612903226</v>
      </c>
      <c r="G249" s="10" t="n">
        <f aca="false">G248/29</f>
        <v>31122.2413793103</v>
      </c>
      <c r="H249" s="10" t="n">
        <f aca="false">H248/31</f>
        <v>23098.1935483871</v>
      </c>
      <c r="I249" s="10" t="n">
        <f aca="false">I248/30</f>
        <v>2833.9</v>
      </c>
      <c r="J249" s="10" t="n">
        <f aca="false">J248/31</f>
        <v>2074.90322580645</v>
      </c>
      <c r="K249" s="10" t="n">
        <f aca="false">K248/30</f>
        <v>1463.96666666667</v>
      </c>
      <c r="L249" s="10" t="n">
        <f aca="false">L248/31</f>
        <v>1264.06451612903</v>
      </c>
      <c r="M249" s="10" t="n">
        <f aca="false">M248/31</f>
        <v>1241.09677419355</v>
      </c>
      <c r="N249" s="10" t="n">
        <f aca="false">N248/30</f>
        <v>1352.16666666667</v>
      </c>
      <c r="O249" s="10" t="n">
        <f aca="false">O248/31</f>
        <v>1655.61290322581</v>
      </c>
      <c r="P249" s="10" t="n">
        <f aca="false">P248/30</f>
        <v>2117.66666666667</v>
      </c>
      <c r="Q249" s="10" t="n">
        <f aca="false">Q248/31</f>
        <v>2154.16129032258</v>
      </c>
      <c r="R249" s="10" t="n">
        <f aca="false">R248/31</f>
        <v>1618.90322580645</v>
      </c>
      <c r="S249" s="10" t="n">
        <f aca="false">S248/28</f>
        <v>1605.42857142857</v>
      </c>
      <c r="T249" s="10" t="n">
        <f aca="false">T248/31</f>
        <v>881.193548387097</v>
      </c>
      <c r="U249" s="6"/>
      <c r="V249" s="6"/>
      <c r="W249" s="6"/>
      <c r="X249" s="6"/>
    </row>
    <row r="250" customFormat="false" ht="12.75" hidden="false" customHeight="false" outlineLevel="0" collapsed="false">
      <c r="C250" s="0" t="s">
        <v>69</v>
      </c>
      <c r="F250" s="6" t="n">
        <v>2200</v>
      </c>
      <c r="G250" s="6" t="n">
        <v>2200</v>
      </c>
      <c r="H250" s="6" t="n">
        <v>2200</v>
      </c>
      <c r="I250" s="6" t="n">
        <v>0</v>
      </c>
      <c r="J250" s="6" t="n">
        <v>0</v>
      </c>
      <c r="K250" s="6" t="n">
        <v>0</v>
      </c>
      <c r="L250" s="6" t="n">
        <v>0</v>
      </c>
      <c r="M250" s="6" t="n">
        <v>0</v>
      </c>
      <c r="N250" s="6" t="n">
        <v>0</v>
      </c>
      <c r="O250" s="6" t="n">
        <v>0</v>
      </c>
      <c r="P250" s="6" t="n">
        <v>0</v>
      </c>
      <c r="Q250" s="6" t="n">
        <v>0</v>
      </c>
      <c r="R250" s="6" t="n">
        <v>0</v>
      </c>
      <c r="S250" s="6" t="n">
        <v>0</v>
      </c>
      <c r="T250" s="6" t="n">
        <v>0</v>
      </c>
      <c r="U250" s="6"/>
      <c r="V250" s="6"/>
      <c r="W250" s="6"/>
      <c r="X250" s="6"/>
    </row>
    <row r="251" customFormat="false" ht="12.75" hidden="true" customHeight="false" outlineLevel="0" collapsed="false">
      <c r="C251" s="0" t="s">
        <v>21</v>
      </c>
      <c r="F251" s="10" t="n">
        <v>839929</v>
      </c>
      <c r="G251" s="10" t="n">
        <v>734352</v>
      </c>
      <c r="H251" s="10" t="n">
        <v>572126</v>
      </c>
      <c r="I251" s="10" t="n">
        <v>352049</v>
      </c>
      <c r="J251" s="10" t="n">
        <v>174497</v>
      </c>
      <c r="K251" s="10" t="n">
        <v>86583</v>
      </c>
      <c r="L251" s="10" t="n">
        <v>81457</v>
      </c>
      <c r="M251" s="10" t="n">
        <v>82183</v>
      </c>
      <c r="N251" s="10" t="n">
        <v>104049</v>
      </c>
      <c r="O251" s="10" t="n">
        <v>171683</v>
      </c>
      <c r="P251" s="10" t="n">
        <v>188654</v>
      </c>
      <c r="Q251" s="10" t="n">
        <v>254229</v>
      </c>
      <c r="R251" s="10" t="n">
        <v>115944</v>
      </c>
      <c r="S251" s="10" t="n">
        <v>50912</v>
      </c>
      <c r="T251" s="10" t="n">
        <v>22473</v>
      </c>
      <c r="U251" s="6"/>
      <c r="V251" s="6"/>
      <c r="W251" s="6"/>
      <c r="X251" s="6"/>
    </row>
    <row r="252" customFormat="false" ht="12.75" hidden="false" customHeight="false" outlineLevel="0" collapsed="false">
      <c r="A252" s="8"/>
      <c r="B252" s="8"/>
      <c r="C252" s="0" t="s">
        <v>21</v>
      </c>
      <c r="D252" s="8"/>
      <c r="E252" s="8"/>
      <c r="F252" s="10" t="n">
        <f aca="false">F251/31</f>
        <v>27094.4838709677</v>
      </c>
      <c r="G252" s="10" t="n">
        <v>26082</v>
      </c>
      <c r="H252" s="10" t="n">
        <f aca="false">H251/31</f>
        <v>18455.6774193548</v>
      </c>
      <c r="I252" s="10" t="n">
        <f aca="false">I251/30</f>
        <v>11734.9666666667</v>
      </c>
      <c r="J252" s="10" t="n">
        <f aca="false">J251/31</f>
        <v>5628.93548387097</v>
      </c>
      <c r="K252" s="10" t="n">
        <f aca="false">K251/30</f>
        <v>2886.1</v>
      </c>
      <c r="L252" s="10" t="n">
        <f aca="false">L251/31</f>
        <v>2627.64516129032</v>
      </c>
      <c r="M252" s="10" t="n">
        <f aca="false">M251/31</f>
        <v>2651.06451612903</v>
      </c>
      <c r="N252" s="10" t="n">
        <f aca="false">N251/30</f>
        <v>3468.3</v>
      </c>
      <c r="O252" s="10" t="n">
        <f aca="false">O251/31</f>
        <v>5538.16129032258</v>
      </c>
      <c r="P252" s="10" t="n">
        <f aca="false">P251/30</f>
        <v>6288.46666666667</v>
      </c>
      <c r="Q252" s="10" t="n">
        <f aca="false">Q251/31</f>
        <v>8200.93548387097</v>
      </c>
      <c r="R252" s="10" t="n">
        <f aca="false">R251/31</f>
        <v>3740.12903225806</v>
      </c>
      <c r="S252" s="10" t="n">
        <f aca="false">S251/28</f>
        <v>1818.28571428571</v>
      </c>
      <c r="T252" s="10" t="n">
        <f aca="false">T251/31</f>
        <v>724.935483870968</v>
      </c>
      <c r="U252" s="6"/>
      <c r="V252" s="6"/>
      <c r="W252" s="6"/>
      <c r="X252" s="6"/>
    </row>
    <row r="253" customFormat="false" ht="12.75" hidden="false" customHeight="false" outlineLevel="0" collapsed="false">
      <c r="C253" s="0" t="s">
        <v>20</v>
      </c>
      <c r="F253" s="6" t="n">
        <v>37364</v>
      </c>
      <c r="G253" s="6" t="n">
        <v>37364</v>
      </c>
      <c r="H253" s="6" t="n">
        <v>37364</v>
      </c>
      <c r="I253" s="6" t="n">
        <v>0</v>
      </c>
      <c r="J253" s="6" t="n">
        <v>0</v>
      </c>
      <c r="K253" s="6" t="n">
        <v>0</v>
      </c>
      <c r="L253" s="6" t="n">
        <v>0</v>
      </c>
      <c r="M253" s="6" t="n">
        <v>0</v>
      </c>
      <c r="N253" s="6" t="n">
        <v>0</v>
      </c>
      <c r="O253" s="6" t="n">
        <v>0</v>
      </c>
      <c r="P253" s="6" t="n">
        <v>0</v>
      </c>
      <c r="Q253" s="6" t="n">
        <v>0</v>
      </c>
      <c r="R253" s="6" t="n">
        <v>0</v>
      </c>
      <c r="S253" s="6" t="n">
        <v>0</v>
      </c>
      <c r="T253" s="6" t="n">
        <v>0</v>
      </c>
      <c r="U253" s="6"/>
      <c r="V253" s="6"/>
      <c r="W253" s="6"/>
      <c r="X253" s="6"/>
    </row>
    <row r="254" customFormat="false" ht="12.75" hidden="false" customHeight="false" outlineLevel="0" collapsed="false">
      <c r="C254" s="0" t="s">
        <v>22</v>
      </c>
      <c r="F254" s="4" t="s">
        <v>70</v>
      </c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customFormat="false" ht="12.75" hidden="false" customHeight="false" outlineLevel="0" collapsed="false"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customFormat="false" ht="12.75" hidden="false" customHeight="false" outlineLevel="0" collapsed="false">
      <c r="B256" s="1" t="s">
        <v>67</v>
      </c>
      <c r="C256" s="1" t="s">
        <v>71</v>
      </c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customFormat="false" ht="12.75" hidden="false" customHeight="false" outlineLevel="0" collapsed="false">
      <c r="D257" s="0" t="s">
        <v>17</v>
      </c>
      <c r="F257" s="4" t="n">
        <f aca="false">$F$17+$F$18</f>
        <v>0.2275</v>
      </c>
      <c r="G257" s="4" t="n">
        <f aca="false">$G$17+$G$18</f>
        <v>0.2275</v>
      </c>
      <c r="H257" s="4" t="n">
        <f aca="false">$H$17+$H$18</f>
        <v>0.1975</v>
      </c>
      <c r="I257" s="4" t="n">
        <f aca="false">$I$17+$I$18</f>
        <v>0.1575</v>
      </c>
      <c r="J257" s="4" t="n">
        <f aca="false">$J$17+$J$18</f>
        <v>0.1175</v>
      </c>
      <c r="K257" s="4" t="n">
        <f aca="false">$K$17+$K$18</f>
        <v>0.1175</v>
      </c>
      <c r="L257" s="4" t="n">
        <f aca="false">$L$17+$L$18</f>
        <v>0.1175</v>
      </c>
      <c r="M257" s="4" t="n">
        <f aca="false">$M$17+$M$18</f>
        <v>0.1175</v>
      </c>
      <c r="N257" s="4" t="n">
        <f aca="false">$N$17+$N$18</f>
        <v>0.1175</v>
      </c>
      <c r="O257" s="4" t="n">
        <f aca="false">$O$17+$O$18</f>
        <v>0.1575</v>
      </c>
      <c r="P257" s="4" t="n">
        <f aca="false">$P$17+$P$18</f>
        <v>0.2025</v>
      </c>
      <c r="Q257" s="4" t="n">
        <f aca="false">$Q$17+$Q$18</f>
        <v>0.2125</v>
      </c>
      <c r="R257" s="4" t="n">
        <f aca="false">$R$17+$R$18</f>
        <v>0.2325</v>
      </c>
      <c r="S257" s="4" t="n">
        <f aca="false">$S$17+$S$18</f>
        <v>0.2325</v>
      </c>
      <c r="T257" s="4" t="n">
        <f aca="false">$T$17+$T$18</f>
        <v>0.2025</v>
      </c>
    </row>
    <row r="258" customFormat="false" ht="12.75" hidden="false" customHeight="false" outlineLevel="0" collapsed="false">
      <c r="D258" s="0" t="s">
        <v>18</v>
      </c>
      <c r="F258" s="4" t="n">
        <f aca="false">$F$17+$F$18</f>
        <v>0.2275</v>
      </c>
      <c r="G258" s="4" t="n">
        <f aca="false">$G$17+$G$18</f>
        <v>0.2275</v>
      </c>
      <c r="H258" s="4" t="n">
        <f aca="false">$H$17+$H$18</f>
        <v>0.1975</v>
      </c>
      <c r="I258" s="4" t="n">
        <f aca="false">$I$17+$I$18</f>
        <v>0.1575</v>
      </c>
      <c r="J258" s="4" t="n">
        <f aca="false">$J$17+$J$18</f>
        <v>0.1175</v>
      </c>
      <c r="K258" s="4" t="n">
        <f aca="false">$K$17+$K$18</f>
        <v>0.1175</v>
      </c>
      <c r="L258" s="4" t="n">
        <f aca="false">$L$17+$L$18</f>
        <v>0.1175</v>
      </c>
      <c r="M258" s="4" t="n">
        <f aca="false">$M$17+$M$18</f>
        <v>0.1175</v>
      </c>
      <c r="N258" s="4" t="n">
        <f aca="false">$N$17+$N$18</f>
        <v>0.1175</v>
      </c>
      <c r="O258" s="4" t="n">
        <f aca="false">$O$17+$O$18</f>
        <v>0.1575</v>
      </c>
      <c r="P258" s="4" t="n">
        <f aca="false">$P$17+$P$18</f>
        <v>0.2025</v>
      </c>
      <c r="Q258" s="4" t="n">
        <f aca="false">$Q$17+$Q$18</f>
        <v>0.2125</v>
      </c>
      <c r="R258" s="4" t="n">
        <f aca="false">$R$17+$R$18</f>
        <v>0.2325</v>
      </c>
      <c r="S258" s="4" t="n">
        <f aca="false">$S$17+$S$18</f>
        <v>0.2325</v>
      </c>
      <c r="T258" s="4" t="n">
        <f aca="false">$T$17+$T$18</f>
        <v>0.2025</v>
      </c>
    </row>
    <row r="259" customFormat="false" ht="12.75" hidden="false" customHeight="false" outlineLevel="0" collapsed="false"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</row>
    <row r="260" customFormat="false" ht="12.75" hidden="true" customHeight="false" outlineLevel="0" collapsed="false">
      <c r="C260" s="0" t="s">
        <v>19</v>
      </c>
      <c r="F260" s="10" t="n">
        <f aca="false">151828+7408</f>
        <v>159236</v>
      </c>
      <c r="G260" s="10" t="n">
        <f aca="false">132071+5480</f>
        <v>137551</v>
      </c>
      <c r="H260" s="10" t="n">
        <f aca="false">107860+5354</f>
        <v>113214</v>
      </c>
      <c r="I260" s="10" t="n">
        <f aca="false">20516+3040</f>
        <v>23556</v>
      </c>
      <c r="J260" s="10" t="n">
        <f aca="false">19033+1988</f>
        <v>21021</v>
      </c>
      <c r="K260" s="10" t="n">
        <f aca="false">2364+769</f>
        <v>3133</v>
      </c>
      <c r="L260" s="10" t="n">
        <f aca="false">2190+232</f>
        <v>2422</v>
      </c>
      <c r="M260" s="10" t="n">
        <f aca="false">2133+223</f>
        <v>2356</v>
      </c>
      <c r="N260" s="10" t="n">
        <f aca="false">2132+185</f>
        <v>2317</v>
      </c>
      <c r="O260" s="10" t="n">
        <f aca="false">3033+353</f>
        <v>3386</v>
      </c>
      <c r="P260" s="10" t="n">
        <f aca="false">1944+953</f>
        <v>2897</v>
      </c>
      <c r="Q260" s="10" t="n">
        <f aca="false">595+1218</f>
        <v>1813</v>
      </c>
      <c r="R260" s="10" t="n">
        <f aca="false">862+2374</f>
        <v>3236</v>
      </c>
      <c r="S260" s="10" t="n">
        <f aca="false">551+1898</f>
        <v>2449</v>
      </c>
      <c r="T260" s="10" t="n">
        <f aca="false">38+1625</f>
        <v>1663</v>
      </c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</row>
    <row r="261" customFormat="false" ht="12.75" hidden="false" customHeight="false" outlineLevel="0" collapsed="false">
      <c r="A261" s="8"/>
      <c r="B261" s="8"/>
      <c r="C261" s="0" t="s">
        <v>19</v>
      </c>
      <c r="D261" s="8"/>
      <c r="E261" s="8"/>
      <c r="F261" s="10" t="n">
        <f aca="false">F260/31</f>
        <v>5136.64516129032</v>
      </c>
      <c r="G261" s="10" t="n">
        <f aca="false">G260/29</f>
        <v>4743.13793103448</v>
      </c>
      <c r="H261" s="10" t="n">
        <f aca="false">H260/31</f>
        <v>3652.06451612903</v>
      </c>
      <c r="I261" s="10" t="n">
        <f aca="false">I260/30</f>
        <v>785.2</v>
      </c>
      <c r="J261" s="10" t="n">
        <f aca="false">J260/31</f>
        <v>678.096774193548</v>
      </c>
      <c r="K261" s="10" t="n">
        <f aca="false">K260/30</f>
        <v>104.433333333333</v>
      </c>
      <c r="L261" s="10" t="n">
        <f aca="false">L260/31</f>
        <v>78.1290322580645</v>
      </c>
      <c r="M261" s="10" t="n">
        <f aca="false">M260/31</f>
        <v>76</v>
      </c>
      <c r="N261" s="10" t="n">
        <f aca="false">N260/30</f>
        <v>77.2333333333333</v>
      </c>
      <c r="O261" s="10" t="n">
        <f aca="false">O260/31</f>
        <v>109.225806451613</v>
      </c>
      <c r="P261" s="10" t="n">
        <f aca="false">P260/30</f>
        <v>96.5666666666667</v>
      </c>
      <c r="Q261" s="10" t="n">
        <f aca="false">Q260/31</f>
        <v>58.4838709677419</v>
      </c>
      <c r="R261" s="10" t="n">
        <f aca="false">R260/31</f>
        <v>104.387096774194</v>
      </c>
      <c r="S261" s="10" t="n">
        <f aca="false">S260/28</f>
        <v>87.4642857142857</v>
      </c>
      <c r="T261" s="10" t="n">
        <f aca="false">T260/31</f>
        <v>53.6451612903226</v>
      </c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</row>
    <row r="262" customFormat="false" ht="12.75" hidden="false" customHeight="false" outlineLevel="0" collapsed="false">
      <c r="C262" s="0" t="s">
        <v>20</v>
      </c>
      <c r="F262" s="6" t="n">
        <v>0</v>
      </c>
      <c r="G262" s="6" t="n">
        <v>0</v>
      </c>
      <c r="H262" s="6" t="n">
        <v>0</v>
      </c>
      <c r="I262" s="6" t="n">
        <v>0</v>
      </c>
      <c r="J262" s="6" t="n">
        <v>0</v>
      </c>
      <c r="K262" s="6" t="n">
        <v>0</v>
      </c>
      <c r="L262" s="6" t="n">
        <v>0</v>
      </c>
      <c r="M262" s="6" t="n">
        <v>0</v>
      </c>
      <c r="N262" s="6" t="n">
        <v>0</v>
      </c>
      <c r="O262" s="6" t="n">
        <v>0</v>
      </c>
      <c r="P262" s="6" t="n">
        <v>0</v>
      </c>
      <c r="Q262" s="6" t="n">
        <v>0</v>
      </c>
      <c r="R262" s="6" t="n">
        <v>0</v>
      </c>
      <c r="S262" s="6" t="n">
        <v>0</v>
      </c>
      <c r="T262" s="6" t="n">
        <v>0</v>
      </c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</row>
    <row r="263" customFormat="false" ht="12.75" hidden="true" customHeight="false" outlineLevel="0" collapsed="false">
      <c r="C263" s="0" t="s">
        <v>21</v>
      </c>
      <c r="F263" s="10" t="n">
        <v>124067</v>
      </c>
      <c r="G263" s="10" t="n">
        <v>108578</v>
      </c>
      <c r="H263" s="10" t="n">
        <v>84629</v>
      </c>
      <c r="I263" s="10" t="n">
        <v>52014</v>
      </c>
      <c r="J263" s="10" t="n">
        <v>25784</v>
      </c>
      <c r="K263" s="10" t="n">
        <v>12866</v>
      </c>
      <c r="L263" s="10" t="n">
        <v>12050</v>
      </c>
      <c r="M263" s="10" t="n">
        <v>12154</v>
      </c>
      <c r="N263" s="10" t="n">
        <v>15355</v>
      </c>
      <c r="O263" s="10" t="n">
        <v>25451</v>
      </c>
      <c r="P263" s="10" t="n">
        <v>28100</v>
      </c>
      <c r="Q263" s="10" t="n">
        <v>37870</v>
      </c>
      <c r="R263" s="10" t="n">
        <v>17645</v>
      </c>
      <c r="S263" s="10" t="n">
        <v>7894</v>
      </c>
      <c r="T263" s="10" t="n">
        <v>3572</v>
      </c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</row>
    <row r="264" customFormat="false" ht="12.75" hidden="false" customHeight="false" outlineLevel="0" collapsed="false">
      <c r="A264" s="8"/>
      <c r="B264" s="8"/>
      <c r="C264" s="0" t="s">
        <v>21</v>
      </c>
      <c r="D264" s="8"/>
      <c r="E264" s="8"/>
      <c r="F264" s="10" t="n">
        <f aca="false">F263/31</f>
        <v>4002.16129032258</v>
      </c>
      <c r="G264" s="10" t="n">
        <v>3856</v>
      </c>
      <c r="H264" s="10" t="n">
        <f aca="false">H263/31</f>
        <v>2729.96774193548</v>
      </c>
      <c r="I264" s="10" t="n">
        <f aca="false">I263/30</f>
        <v>1733.8</v>
      </c>
      <c r="J264" s="10" t="n">
        <f aca="false">J263/31</f>
        <v>831.741935483871</v>
      </c>
      <c r="K264" s="10" t="n">
        <f aca="false">K263/30</f>
        <v>428.866666666667</v>
      </c>
      <c r="L264" s="10" t="n">
        <f aca="false">L263/31</f>
        <v>388.709677419355</v>
      </c>
      <c r="M264" s="10" t="n">
        <f aca="false">M263/31</f>
        <v>392.064516129032</v>
      </c>
      <c r="N264" s="10" t="n">
        <f aca="false">N263/30</f>
        <v>511.833333333333</v>
      </c>
      <c r="O264" s="10" t="n">
        <f aca="false">O263/31</f>
        <v>821</v>
      </c>
      <c r="P264" s="10" t="n">
        <f aca="false">P263/30</f>
        <v>936.666666666667</v>
      </c>
      <c r="Q264" s="10" t="n">
        <f aca="false">Q263/31</f>
        <v>1221.61290322581</v>
      </c>
      <c r="R264" s="10" t="n">
        <f aca="false">R263/31</f>
        <v>569.193548387097</v>
      </c>
      <c r="S264" s="10" t="n">
        <f aca="false">S263/28</f>
        <v>281.928571428571</v>
      </c>
      <c r="T264" s="10" t="n">
        <f aca="false">T263/31</f>
        <v>115.225806451613</v>
      </c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</row>
    <row r="265" customFormat="false" ht="12.75" hidden="false" customHeight="false" outlineLevel="0" collapsed="false">
      <c r="C265" s="0" t="s">
        <v>20</v>
      </c>
      <c r="F265" s="6" t="n">
        <v>5577</v>
      </c>
      <c r="G265" s="6" t="n">
        <v>5577</v>
      </c>
      <c r="H265" s="6" t="n">
        <v>5577</v>
      </c>
      <c r="I265" s="6" t="n">
        <v>0</v>
      </c>
      <c r="J265" s="6" t="n">
        <v>0</v>
      </c>
      <c r="K265" s="6" t="n">
        <v>0</v>
      </c>
      <c r="L265" s="6" t="n">
        <v>0</v>
      </c>
      <c r="M265" s="6" t="n">
        <v>0</v>
      </c>
      <c r="N265" s="6" t="n">
        <v>0</v>
      </c>
      <c r="O265" s="6" t="n">
        <v>0</v>
      </c>
      <c r="P265" s="6" t="n">
        <v>0</v>
      </c>
      <c r="Q265" s="6" t="n">
        <v>0</v>
      </c>
      <c r="R265" s="6" t="n">
        <v>0</v>
      </c>
      <c r="S265" s="6" t="n">
        <v>0</v>
      </c>
      <c r="T265" s="6" t="n">
        <v>0</v>
      </c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</row>
    <row r="266" customFormat="false" ht="12.75" hidden="false" customHeight="false" outlineLevel="0" collapsed="false">
      <c r="C266" s="0" t="s">
        <v>22</v>
      </c>
      <c r="F266" s="4" t="s">
        <v>72</v>
      </c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 customFormat="false" ht="12.75" hidden="false" customHeight="false" outlineLevel="0" collapsed="false"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customFormat="false" ht="12.75" hidden="false" customHeight="false" outlineLevel="0" collapsed="false">
      <c r="B268" s="1" t="s">
        <v>67</v>
      </c>
      <c r="C268" s="1" t="s">
        <v>73</v>
      </c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customFormat="false" ht="12.75" hidden="false" customHeight="false" outlineLevel="0" collapsed="false">
      <c r="D269" s="0" t="s">
        <v>17</v>
      </c>
      <c r="F269" s="4" t="n">
        <f aca="false">$F$17+$F$18</f>
        <v>0.2275</v>
      </c>
      <c r="G269" s="4" t="n">
        <f aca="false">$G$17+$G$18</f>
        <v>0.2275</v>
      </c>
      <c r="H269" s="4" t="n">
        <f aca="false">$H$17+$H$18</f>
        <v>0.1975</v>
      </c>
      <c r="I269" s="4" t="n">
        <f aca="false">$I$17+$I$18</f>
        <v>0.1575</v>
      </c>
      <c r="J269" s="4" t="n">
        <f aca="false">$J$17+$J$18</f>
        <v>0.1175</v>
      </c>
      <c r="K269" s="4" t="n">
        <f aca="false">$K$17+$K$18</f>
        <v>0.1175</v>
      </c>
      <c r="L269" s="4" t="n">
        <f aca="false">$L$17+$L$18</f>
        <v>0.1175</v>
      </c>
      <c r="M269" s="4" t="n">
        <f aca="false">$M$17+$M$18</f>
        <v>0.1175</v>
      </c>
      <c r="N269" s="4" t="n">
        <f aca="false">$N$17+$N$18</f>
        <v>0.1175</v>
      </c>
      <c r="O269" s="4" t="n">
        <f aca="false">$O$17+$O$18</f>
        <v>0.1575</v>
      </c>
      <c r="P269" s="4" t="n">
        <f aca="false">$P$17+$P$18</f>
        <v>0.2025</v>
      </c>
      <c r="Q269" s="4" t="n">
        <f aca="false">$Q$17+$Q$18</f>
        <v>0.2125</v>
      </c>
      <c r="R269" s="4" t="n">
        <f aca="false">$R$17+$R$18</f>
        <v>0.2325</v>
      </c>
      <c r="S269" s="4" t="n">
        <f aca="false">$S$17+$S$18</f>
        <v>0.2325</v>
      </c>
      <c r="T269" s="4" t="n">
        <f aca="false">$T$17+$T$18</f>
        <v>0.2025</v>
      </c>
    </row>
    <row r="270" customFormat="false" ht="12.75" hidden="false" customHeight="false" outlineLevel="0" collapsed="false">
      <c r="D270" s="0" t="s">
        <v>18</v>
      </c>
      <c r="F270" s="4" t="n">
        <f aca="false">$F$17+$F$18</f>
        <v>0.2275</v>
      </c>
      <c r="G270" s="4" t="n">
        <f aca="false">$G$17+$G$18</f>
        <v>0.2275</v>
      </c>
      <c r="H270" s="4" t="n">
        <f aca="false">$H$17+$H$18</f>
        <v>0.1975</v>
      </c>
      <c r="I270" s="4" t="n">
        <f aca="false">$I$17+$I$18</f>
        <v>0.1575</v>
      </c>
      <c r="J270" s="4" t="n">
        <f aca="false">$J$17+$J$18</f>
        <v>0.1175</v>
      </c>
      <c r="K270" s="4" t="n">
        <f aca="false">$K$17+$K$18</f>
        <v>0.1175</v>
      </c>
      <c r="L270" s="4" t="n">
        <f aca="false">$L$17+$L$18</f>
        <v>0.1175</v>
      </c>
      <c r="M270" s="4" t="n">
        <f aca="false">$M$17+$M$18</f>
        <v>0.1175</v>
      </c>
      <c r="N270" s="4" t="n">
        <f aca="false">$N$17+$N$18</f>
        <v>0.1175</v>
      </c>
      <c r="O270" s="4" t="n">
        <f aca="false">$O$17+$O$18</f>
        <v>0.1575</v>
      </c>
      <c r="P270" s="4" t="n">
        <f aca="false">$P$17+$P$18</f>
        <v>0.2025</v>
      </c>
      <c r="Q270" s="4" t="n">
        <f aca="false">$Q$17+$Q$18</f>
        <v>0.2125</v>
      </c>
      <c r="R270" s="4" t="n">
        <f aca="false">$R$17+$R$18</f>
        <v>0.2325</v>
      </c>
      <c r="S270" s="4" t="n">
        <f aca="false">$S$17+$S$18</f>
        <v>0.2325</v>
      </c>
      <c r="T270" s="4" t="n">
        <f aca="false">$T$17+$T$18</f>
        <v>0.2025</v>
      </c>
    </row>
    <row r="271" customFormat="false" ht="12.75" hidden="false" customHeight="false" outlineLevel="0" collapsed="false"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</row>
    <row r="272" customFormat="false" ht="12.75" hidden="true" customHeight="false" outlineLevel="0" collapsed="false">
      <c r="C272" s="0" t="s">
        <v>19</v>
      </c>
      <c r="F272" s="10" t="n">
        <f aca="false">67229+5487+20000</f>
        <v>92716</v>
      </c>
      <c r="G272" s="10" t="n">
        <f aca="false">666318+6046+18000</f>
        <v>690364</v>
      </c>
      <c r="H272" s="10" t="n">
        <f aca="false">63233+5651+20000</f>
        <v>88884</v>
      </c>
      <c r="I272" s="10" t="n">
        <f aca="false">44588+4072+19000</f>
        <v>67660</v>
      </c>
      <c r="J272" s="10" t="n">
        <f aca="false">39394+2462</f>
        <v>41856</v>
      </c>
      <c r="K272" s="10" t="n">
        <v>38398</v>
      </c>
      <c r="L272" s="10" t="n">
        <v>37997</v>
      </c>
      <c r="M272" s="10" t="n">
        <v>38369</v>
      </c>
      <c r="N272" s="10" t="n">
        <v>38661</v>
      </c>
      <c r="O272" s="10" t="n">
        <v>38342</v>
      </c>
      <c r="P272" s="10" t="n">
        <v>38668</v>
      </c>
      <c r="Q272" s="10" t="n">
        <v>1498</v>
      </c>
      <c r="R272" s="10" t="n">
        <v>2451</v>
      </c>
      <c r="S272" s="10" t="n">
        <v>1443</v>
      </c>
      <c r="T272" s="6" t="n">
        <v>0</v>
      </c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</row>
    <row r="273" customFormat="false" ht="12.75" hidden="false" customHeight="false" outlineLevel="0" collapsed="false">
      <c r="A273" s="8"/>
      <c r="B273" s="8"/>
      <c r="C273" s="0" t="s">
        <v>19</v>
      </c>
      <c r="D273" s="8"/>
      <c r="E273" s="8"/>
      <c r="F273" s="10" t="n">
        <f aca="false">F272/31</f>
        <v>2990.83870967742</v>
      </c>
      <c r="G273" s="10" t="n">
        <f aca="false">G272/29</f>
        <v>23805.6551724138</v>
      </c>
      <c r="H273" s="10" t="n">
        <f aca="false">H272/31</f>
        <v>2867.22580645161</v>
      </c>
      <c r="I273" s="10" t="n">
        <f aca="false">I272/30</f>
        <v>2255.33333333333</v>
      </c>
      <c r="J273" s="10" t="n">
        <f aca="false">J272/31</f>
        <v>1350.1935483871</v>
      </c>
      <c r="K273" s="10" t="n">
        <f aca="false">K272/30</f>
        <v>1279.93333333333</v>
      </c>
      <c r="L273" s="10" t="n">
        <f aca="false">L272/31</f>
        <v>1225.70967741935</v>
      </c>
      <c r="M273" s="10" t="n">
        <f aca="false">M272/31</f>
        <v>1237.70967741935</v>
      </c>
      <c r="N273" s="10" t="n">
        <f aca="false">N272/30</f>
        <v>1288.7</v>
      </c>
      <c r="O273" s="10" t="n">
        <f aca="false">O272/31</f>
        <v>1236.83870967742</v>
      </c>
      <c r="P273" s="10" t="n">
        <f aca="false">P272/30</f>
        <v>1288.93333333333</v>
      </c>
      <c r="Q273" s="10" t="n">
        <f aca="false">Q272/31</f>
        <v>48.3225806451613</v>
      </c>
      <c r="R273" s="10" t="n">
        <f aca="false">R272/31</f>
        <v>79.0645161290323</v>
      </c>
      <c r="S273" s="10" t="n">
        <f aca="false">S272/28</f>
        <v>51.5357142857143</v>
      </c>
      <c r="T273" s="10" t="n">
        <f aca="false">T272/31</f>
        <v>0</v>
      </c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</row>
    <row r="274" customFormat="false" ht="12.75" hidden="false" customHeight="false" outlineLevel="0" collapsed="false">
      <c r="C274" s="0" t="s">
        <v>20</v>
      </c>
      <c r="F274" s="10" t="n">
        <v>3000</v>
      </c>
      <c r="G274" s="10" t="n">
        <v>3000</v>
      </c>
      <c r="H274" s="10" t="n">
        <v>3000</v>
      </c>
      <c r="I274" s="10" t="n">
        <v>3000</v>
      </c>
      <c r="J274" s="10" t="n">
        <v>3000</v>
      </c>
      <c r="K274" s="10" t="n">
        <v>3000</v>
      </c>
      <c r="L274" s="10" t="n">
        <v>3000</v>
      </c>
      <c r="M274" s="10" t="n">
        <v>3000</v>
      </c>
      <c r="N274" s="10" t="n">
        <v>3000</v>
      </c>
      <c r="O274" s="10" t="n">
        <v>3000</v>
      </c>
      <c r="P274" s="10" t="n">
        <v>0</v>
      </c>
      <c r="Q274" s="10" t="n">
        <v>0</v>
      </c>
      <c r="R274" s="10" t="n">
        <v>0</v>
      </c>
      <c r="S274" s="10" t="n">
        <v>0</v>
      </c>
      <c r="T274" s="10" t="n">
        <v>0</v>
      </c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</row>
    <row r="275" customFormat="false" ht="12.75" hidden="true" customHeight="false" outlineLevel="0" collapsed="false">
      <c r="C275" s="0" t="s">
        <v>21</v>
      </c>
      <c r="F275" s="10" t="n">
        <v>100593</v>
      </c>
      <c r="G275" s="10" t="n">
        <v>88287</v>
      </c>
      <c r="H275" s="10" t="n">
        <v>68903</v>
      </c>
      <c r="I275" s="10" t="n">
        <v>42202</v>
      </c>
      <c r="J275" s="10" t="n">
        <v>20926</v>
      </c>
      <c r="K275" s="10" t="n">
        <v>10615</v>
      </c>
      <c r="L275" s="10" t="n">
        <v>9814</v>
      </c>
      <c r="M275" s="10" t="n">
        <v>9888</v>
      </c>
      <c r="N275" s="10" t="n">
        <v>12417</v>
      </c>
      <c r="O275" s="10" t="n">
        <v>20852</v>
      </c>
      <c r="P275" s="10" t="n">
        <v>23341</v>
      </c>
      <c r="Q275" s="10" t="n">
        <v>31463</v>
      </c>
      <c r="R275" s="10" t="n">
        <v>15546</v>
      </c>
      <c r="S275" s="10" t="n">
        <v>7292</v>
      </c>
      <c r="T275" s="6" t="n">
        <v>3500</v>
      </c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</row>
    <row r="276" customFormat="false" ht="12.75" hidden="false" customHeight="false" outlineLevel="0" collapsed="false">
      <c r="A276" s="8"/>
      <c r="B276" s="8"/>
      <c r="C276" s="0" t="s">
        <v>21</v>
      </c>
      <c r="D276" s="8"/>
      <c r="E276" s="8"/>
      <c r="F276" s="10" t="n">
        <f aca="false">F275/31</f>
        <v>3244.93548387097</v>
      </c>
      <c r="G276" s="10" t="n">
        <v>3136</v>
      </c>
      <c r="H276" s="10" t="n">
        <f aca="false">H275/31</f>
        <v>2222.67741935484</v>
      </c>
      <c r="I276" s="10" t="n">
        <f aca="false">I275/30</f>
        <v>1406.73333333333</v>
      </c>
      <c r="J276" s="10" t="n">
        <f aca="false">J275/31</f>
        <v>675.032258064516</v>
      </c>
      <c r="K276" s="10" t="n">
        <f aca="false">K275/30</f>
        <v>353.833333333333</v>
      </c>
      <c r="L276" s="10" t="n">
        <f aca="false">L275/31</f>
        <v>316.58064516129</v>
      </c>
      <c r="M276" s="10" t="n">
        <f aca="false">M275/31</f>
        <v>318.967741935484</v>
      </c>
      <c r="N276" s="10" t="n">
        <f aca="false">N275/30</f>
        <v>413.9</v>
      </c>
      <c r="O276" s="10" t="n">
        <f aca="false">O275/31</f>
        <v>672.645161290323</v>
      </c>
      <c r="P276" s="10" t="n">
        <f aca="false">P275/30</f>
        <v>778.033333333333</v>
      </c>
      <c r="Q276" s="10" t="n">
        <f aca="false">Q275/31</f>
        <v>1014.93548387097</v>
      </c>
      <c r="R276" s="10" t="n">
        <f aca="false">R275/31</f>
        <v>501.483870967742</v>
      </c>
      <c r="S276" s="10" t="n">
        <f aca="false">S275/28</f>
        <v>260.428571428571</v>
      </c>
      <c r="T276" s="10" t="n">
        <f aca="false">T275/31</f>
        <v>112.903225806452</v>
      </c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</row>
    <row r="277" customFormat="false" ht="12.75" hidden="false" customHeight="false" outlineLevel="0" collapsed="false">
      <c r="C277" s="0" t="s">
        <v>20</v>
      </c>
      <c r="F277" s="6" t="n">
        <v>4418</v>
      </c>
      <c r="G277" s="6" t="n">
        <v>4418</v>
      </c>
      <c r="H277" s="6" t="n">
        <v>4418</v>
      </c>
      <c r="I277" s="6" t="n">
        <v>0</v>
      </c>
      <c r="J277" s="6" t="n">
        <v>0</v>
      </c>
      <c r="K277" s="6" t="n">
        <v>0</v>
      </c>
      <c r="L277" s="6" t="n">
        <v>0</v>
      </c>
      <c r="M277" s="6" t="n">
        <v>0</v>
      </c>
      <c r="N277" s="6" t="n">
        <v>0</v>
      </c>
      <c r="O277" s="6" t="n">
        <v>0</v>
      </c>
      <c r="P277" s="6" t="n">
        <v>0</v>
      </c>
      <c r="Q277" s="6" t="n">
        <v>0</v>
      </c>
      <c r="R277" s="6" t="n">
        <v>0</v>
      </c>
      <c r="S277" s="6" t="n">
        <v>0</v>
      </c>
      <c r="T277" s="6" t="n">
        <v>0</v>
      </c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</row>
    <row r="278" customFormat="false" ht="12.75" hidden="false" customHeight="false" outlineLevel="0" collapsed="false">
      <c r="C278" s="0" t="s">
        <v>22</v>
      </c>
      <c r="F278" s="4" t="s">
        <v>74</v>
      </c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 customFormat="false" ht="12.75" hidden="false" customHeight="false" outlineLevel="0" collapsed="false"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customFormat="false" ht="12.75" hidden="false" customHeight="false" outlineLevel="0" collapsed="false">
      <c r="B280" s="1" t="s">
        <v>67</v>
      </c>
      <c r="C280" s="1" t="s">
        <v>75</v>
      </c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customFormat="false" ht="12.75" hidden="false" customHeight="false" outlineLevel="0" collapsed="false">
      <c r="D281" s="0" t="s">
        <v>17</v>
      </c>
      <c r="F281" s="4" t="n">
        <f aca="false">$F$17+$F$18</f>
        <v>0.2275</v>
      </c>
      <c r="G281" s="4" t="n">
        <f aca="false">$G$17+$G$18</f>
        <v>0.2275</v>
      </c>
      <c r="H281" s="4" t="n">
        <f aca="false">$H$17+$H$18</f>
        <v>0.1975</v>
      </c>
      <c r="I281" s="4" t="n">
        <f aca="false">$I$17+$I$18</f>
        <v>0.1575</v>
      </c>
      <c r="J281" s="4" t="n">
        <f aca="false">$J$17+$J$18</f>
        <v>0.1175</v>
      </c>
      <c r="K281" s="4" t="n">
        <f aca="false">$K$17+$K$18</f>
        <v>0.1175</v>
      </c>
      <c r="L281" s="4" t="n">
        <f aca="false">$L$17+$L$18</f>
        <v>0.1175</v>
      </c>
      <c r="M281" s="4" t="n">
        <f aca="false">$M$17+$M$18</f>
        <v>0.1175</v>
      </c>
      <c r="N281" s="4" t="n">
        <f aca="false">$N$17+$N$18</f>
        <v>0.1175</v>
      </c>
      <c r="O281" s="4" t="n">
        <f aca="false">$O$17+$O$18</f>
        <v>0.1575</v>
      </c>
      <c r="P281" s="4" t="n">
        <f aca="false">$P$17+$P$18</f>
        <v>0.2025</v>
      </c>
      <c r="Q281" s="4" t="n">
        <f aca="false">$Q$17+$Q$18</f>
        <v>0.2125</v>
      </c>
      <c r="R281" s="4" t="n">
        <f aca="false">$R$17+$R$18</f>
        <v>0.2325</v>
      </c>
      <c r="S281" s="4" t="n">
        <f aca="false">$S$17+$S$18</f>
        <v>0.2325</v>
      </c>
      <c r="T281" s="4" t="n">
        <f aca="false">$T$17+$T$18</f>
        <v>0.2025</v>
      </c>
    </row>
    <row r="282" customFormat="false" ht="12.75" hidden="false" customHeight="false" outlineLevel="0" collapsed="false">
      <c r="D282" s="0" t="s">
        <v>18</v>
      </c>
      <c r="F282" s="4" t="n">
        <f aca="false">$F$17+$F$18</f>
        <v>0.2275</v>
      </c>
      <c r="G282" s="4" t="n">
        <f aca="false">$G$17+$G$18</f>
        <v>0.2275</v>
      </c>
      <c r="H282" s="4" t="n">
        <f aca="false">$H$17+$H$18</f>
        <v>0.1975</v>
      </c>
      <c r="I282" s="4" t="n">
        <f aca="false">$I$17+$I$18</f>
        <v>0.1575</v>
      </c>
      <c r="J282" s="4" t="n">
        <f aca="false">$J$17+$J$18</f>
        <v>0.1175</v>
      </c>
      <c r="K282" s="4" t="n">
        <f aca="false">$K$17+$K$18</f>
        <v>0.1175</v>
      </c>
      <c r="L282" s="4" t="n">
        <f aca="false">$L$17+$L$18</f>
        <v>0.1175</v>
      </c>
      <c r="M282" s="4" t="n">
        <f aca="false">$M$17+$M$18</f>
        <v>0.1175</v>
      </c>
      <c r="N282" s="4" t="n">
        <f aca="false">$N$17+$N$18</f>
        <v>0.1175</v>
      </c>
      <c r="O282" s="4" t="n">
        <f aca="false">$O$17+$O$18</f>
        <v>0.1575</v>
      </c>
      <c r="P282" s="4" t="n">
        <f aca="false">$P$17+$P$18</f>
        <v>0.2025</v>
      </c>
      <c r="Q282" s="4" t="n">
        <f aca="false">$Q$17+$Q$18</f>
        <v>0.2125</v>
      </c>
      <c r="R282" s="4" t="n">
        <f aca="false">$R$17+$R$18</f>
        <v>0.2325</v>
      </c>
      <c r="S282" s="4" t="n">
        <f aca="false">$S$17+$S$18</f>
        <v>0.2325</v>
      </c>
      <c r="T282" s="4" t="n">
        <f aca="false">$T$17+$T$18</f>
        <v>0.2025</v>
      </c>
    </row>
    <row r="283" customFormat="false" ht="12.75" hidden="false" customHeight="false" outlineLevel="0" collapsed="false"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</row>
    <row r="284" customFormat="false" ht="12.75" hidden="true" customHeight="false" outlineLevel="0" collapsed="false">
      <c r="C284" s="0" t="s">
        <v>19</v>
      </c>
      <c r="F284" s="10" t="n">
        <v>1109844</v>
      </c>
      <c r="G284" s="10" t="n">
        <v>971909</v>
      </c>
      <c r="H284" s="10" t="n">
        <v>754978</v>
      </c>
      <c r="I284" s="10" t="n">
        <v>92432</v>
      </c>
      <c r="J284" s="10" t="n">
        <v>70549</v>
      </c>
      <c r="K284" s="10" t="n">
        <v>60066</v>
      </c>
      <c r="L284" s="10" t="n">
        <v>55355</v>
      </c>
      <c r="M284" s="10" t="n">
        <v>38732</v>
      </c>
      <c r="N284" s="10" t="n">
        <v>39098</v>
      </c>
      <c r="O284" s="10" t="n">
        <v>47238</v>
      </c>
      <c r="P284" s="10" t="n">
        <v>36927</v>
      </c>
      <c r="Q284" s="10" t="n">
        <v>40444</v>
      </c>
      <c r="R284" s="10" t="n">
        <v>32263</v>
      </c>
      <c r="S284" s="10" t="n">
        <v>27259</v>
      </c>
      <c r="T284" s="10" t="n">
        <v>25556</v>
      </c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</row>
    <row r="285" customFormat="false" ht="12.75" hidden="false" customHeight="false" outlineLevel="0" collapsed="false">
      <c r="A285" s="8"/>
      <c r="B285" s="8"/>
      <c r="C285" s="0" t="s">
        <v>19</v>
      </c>
      <c r="D285" s="8"/>
      <c r="E285" s="8"/>
      <c r="F285" s="10" t="n">
        <f aca="false">F284/31</f>
        <v>35801.4193548387</v>
      </c>
      <c r="G285" s="10" t="n">
        <f aca="false">G284/29</f>
        <v>33514.1034482759</v>
      </c>
      <c r="H285" s="10" t="n">
        <f aca="false">H284/31</f>
        <v>24354.1290322581</v>
      </c>
      <c r="I285" s="10" t="n">
        <f aca="false">I284/30</f>
        <v>3081.06666666667</v>
      </c>
      <c r="J285" s="10" t="n">
        <f aca="false">J284/31</f>
        <v>2275.77419354839</v>
      </c>
      <c r="K285" s="10" t="n">
        <f aca="false">K284/30</f>
        <v>2002.2</v>
      </c>
      <c r="L285" s="10" t="n">
        <f aca="false">L284/31</f>
        <v>1785.64516129032</v>
      </c>
      <c r="M285" s="10" t="n">
        <f aca="false">M284/31</f>
        <v>1249.41935483871</v>
      </c>
      <c r="N285" s="10" t="n">
        <f aca="false">N284/30</f>
        <v>1303.26666666667</v>
      </c>
      <c r="O285" s="10" t="n">
        <f aca="false">O284/31</f>
        <v>1523.8064516129</v>
      </c>
      <c r="P285" s="10" t="n">
        <f aca="false">P284/30</f>
        <v>1230.9</v>
      </c>
      <c r="Q285" s="10" t="n">
        <f aca="false">Q284/31</f>
        <v>1304.64516129032</v>
      </c>
      <c r="R285" s="10" t="n">
        <f aca="false">R284/31</f>
        <v>1040.74193548387</v>
      </c>
      <c r="S285" s="10" t="n">
        <f aca="false">S284/28</f>
        <v>973.535714285714</v>
      </c>
      <c r="T285" s="10" t="n">
        <f aca="false">T284/31</f>
        <v>824.387096774194</v>
      </c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</row>
    <row r="286" customFormat="false" ht="12.75" hidden="false" customHeight="false" outlineLevel="0" collapsed="false">
      <c r="C286" s="0" t="s">
        <v>20</v>
      </c>
      <c r="F286" s="6" t="n">
        <v>0</v>
      </c>
      <c r="G286" s="6" t="n">
        <v>0</v>
      </c>
      <c r="H286" s="6" t="n">
        <v>0</v>
      </c>
      <c r="I286" s="6" t="n">
        <v>0</v>
      </c>
      <c r="J286" s="6" t="n">
        <v>0</v>
      </c>
      <c r="K286" s="6" t="n">
        <v>0</v>
      </c>
      <c r="L286" s="6" t="n">
        <v>0</v>
      </c>
      <c r="M286" s="6" t="n">
        <v>0</v>
      </c>
      <c r="N286" s="6" t="n">
        <v>0</v>
      </c>
      <c r="O286" s="6" t="n">
        <v>0</v>
      </c>
      <c r="P286" s="6" t="n">
        <v>0</v>
      </c>
      <c r="Q286" s="6" t="n">
        <v>0</v>
      </c>
      <c r="R286" s="6" t="n">
        <v>0</v>
      </c>
      <c r="S286" s="6" t="n">
        <v>0</v>
      </c>
      <c r="T286" s="6" t="n">
        <v>0</v>
      </c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</row>
    <row r="287" customFormat="false" ht="12.75" hidden="true" customHeight="false" outlineLevel="0" collapsed="false">
      <c r="C287" s="0" t="s">
        <v>21</v>
      </c>
      <c r="F287" s="10" t="n">
        <v>778304</v>
      </c>
      <c r="G287" s="10" t="n">
        <v>681991</v>
      </c>
      <c r="H287" s="10" t="n">
        <v>528433</v>
      </c>
      <c r="I287" s="10" t="n">
        <v>336761</v>
      </c>
      <c r="J287" s="10" t="n">
        <v>176805</v>
      </c>
      <c r="K287" s="10" t="n">
        <v>89624</v>
      </c>
      <c r="L287" s="10" t="n">
        <v>79999</v>
      </c>
      <c r="M287" s="10" t="n">
        <v>80202</v>
      </c>
      <c r="N287" s="10" t="n">
        <v>99589</v>
      </c>
      <c r="O287" s="10" t="n">
        <v>159745</v>
      </c>
      <c r="P287" s="10" t="n">
        <v>159120</v>
      </c>
      <c r="Q287" s="10" t="n">
        <v>214387</v>
      </c>
      <c r="R287" s="10" t="n">
        <v>91401</v>
      </c>
      <c r="S287" s="10" t="n">
        <v>37656</v>
      </c>
      <c r="T287" s="10" t="n">
        <v>15125</v>
      </c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</row>
    <row r="288" customFormat="false" ht="12.75" hidden="false" customHeight="false" outlineLevel="0" collapsed="false">
      <c r="A288" s="8"/>
      <c r="B288" s="8"/>
      <c r="C288" s="0" t="s">
        <v>21</v>
      </c>
      <c r="D288" s="8"/>
      <c r="E288" s="8"/>
      <c r="F288" s="10" t="n">
        <f aca="false">F287/31</f>
        <v>25106.5806451613</v>
      </c>
      <c r="G288" s="10" t="n">
        <v>24222</v>
      </c>
      <c r="H288" s="10" t="n">
        <f aca="false">H287/31</f>
        <v>17046.2258064516</v>
      </c>
      <c r="I288" s="10" t="n">
        <f aca="false">I287/30</f>
        <v>11225.3666666667</v>
      </c>
      <c r="J288" s="10" t="n">
        <f aca="false">J287/31</f>
        <v>5703.38709677419</v>
      </c>
      <c r="K288" s="10" t="n">
        <f aca="false">K287/30</f>
        <v>2987.46666666667</v>
      </c>
      <c r="L288" s="10" t="n">
        <f aca="false">L287/31</f>
        <v>2580.61290322581</v>
      </c>
      <c r="M288" s="10" t="n">
        <f aca="false">M287/31</f>
        <v>2587.16129032258</v>
      </c>
      <c r="N288" s="10" t="n">
        <f aca="false">N287/30</f>
        <v>3319.63333333333</v>
      </c>
      <c r="O288" s="10" t="n">
        <f aca="false">O287/31</f>
        <v>5153.06451612903</v>
      </c>
      <c r="P288" s="10" t="n">
        <f aca="false">P287/30</f>
        <v>5304</v>
      </c>
      <c r="Q288" s="10" t="n">
        <f aca="false">Q287/31</f>
        <v>6915.70967741936</v>
      </c>
      <c r="R288" s="10" t="n">
        <f aca="false">R287/31</f>
        <v>2948.41935483871</v>
      </c>
      <c r="S288" s="10" t="n">
        <f aca="false">S287/28</f>
        <v>1344.85714285714</v>
      </c>
      <c r="T288" s="10" t="n">
        <f aca="false">T287/31</f>
        <v>487.903225806452</v>
      </c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</row>
    <row r="289" customFormat="false" ht="12.75" hidden="false" customHeight="false" outlineLevel="0" collapsed="false">
      <c r="C289" s="0" t="s">
        <v>20</v>
      </c>
      <c r="F289" s="6" t="n">
        <v>35727</v>
      </c>
      <c r="G289" s="6" t="n">
        <v>35727</v>
      </c>
      <c r="H289" s="6" t="n">
        <v>35727</v>
      </c>
      <c r="I289" s="6" t="n">
        <v>0</v>
      </c>
      <c r="J289" s="6" t="n">
        <v>0</v>
      </c>
      <c r="K289" s="6" t="n">
        <v>0</v>
      </c>
      <c r="L289" s="6" t="n">
        <v>0</v>
      </c>
      <c r="M289" s="6" t="n">
        <v>0</v>
      </c>
      <c r="N289" s="6" t="n">
        <v>0</v>
      </c>
      <c r="O289" s="6" t="n">
        <v>0</v>
      </c>
      <c r="P289" s="6" t="n">
        <v>0</v>
      </c>
      <c r="Q289" s="6" t="n">
        <v>0</v>
      </c>
      <c r="R289" s="6" t="n">
        <v>0</v>
      </c>
      <c r="S289" s="6" t="n">
        <v>0</v>
      </c>
      <c r="T289" s="6" t="n">
        <v>0</v>
      </c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</row>
    <row r="290" customFormat="false" ht="12.75" hidden="false" customHeight="false" outlineLevel="0" collapsed="false">
      <c r="C290" s="0" t="s">
        <v>22</v>
      </c>
      <c r="F290" s="4" t="s">
        <v>74</v>
      </c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 customFormat="false" ht="12.75" hidden="false" customHeight="false" outlineLevel="0" collapsed="false"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 customFormat="false" ht="12.75" hidden="false" customHeight="false" outlineLevel="0" collapsed="false">
      <c r="B292" s="1" t="s">
        <v>67</v>
      </c>
      <c r="C292" s="1" t="s">
        <v>76</v>
      </c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 customFormat="false" ht="12.75" hidden="false" customHeight="false" outlineLevel="0" collapsed="false">
      <c r="D293" s="0" t="s">
        <v>17</v>
      </c>
      <c r="F293" s="4" t="n">
        <f aca="false">$F$17+$F$18</f>
        <v>0.2275</v>
      </c>
      <c r="G293" s="4" t="n">
        <f aca="false">$G$17+$G$18</f>
        <v>0.2275</v>
      </c>
      <c r="H293" s="4" t="n">
        <f aca="false">$H$17+$H$18</f>
        <v>0.1975</v>
      </c>
      <c r="I293" s="4" t="n">
        <f aca="false">$I$17+$I$18</f>
        <v>0.1575</v>
      </c>
      <c r="J293" s="4" t="n">
        <f aca="false">$J$17+$J$18</f>
        <v>0.1175</v>
      </c>
      <c r="K293" s="4" t="n">
        <f aca="false">$K$17+$K$18</f>
        <v>0.1175</v>
      </c>
      <c r="L293" s="4" t="n">
        <f aca="false">$L$17+$L$18</f>
        <v>0.1175</v>
      </c>
      <c r="M293" s="4" t="n">
        <f aca="false">$M$17+$M$18</f>
        <v>0.1175</v>
      </c>
      <c r="N293" s="4" t="n">
        <f aca="false">$N$17+$N$18</f>
        <v>0.1175</v>
      </c>
      <c r="O293" s="4" t="n">
        <f aca="false">$O$17+$O$18</f>
        <v>0.1575</v>
      </c>
      <c r="P293" s="4" t="n">
        <f aca="false">$P$17+$P$18</f>
        <v>0.2025</v>
      </c>
      <c r="Q293" s="4" t="n">
        <f aca="false">$Q$17+$Q$18</f>
        <v>0.2125</v>
      </c>
      <c r="R293" s="4" t="n">
        <f aca="false">$R$17+$R$18</f>
        <v>0.2325</v>
      </c>
      <c r="S293" s="4" t="n">
        <f aca="false">$S$17+$S$18</f>
        <v>0.2325</v>
      </c>
      <c r="T293" s="4" t="n">
        <f aca="false">$T$17+$T$18</f>
        <v>0.2025</v>
      </c>
    </row>
    <row r="294" customFormat="false" ht="12.75" hidden="false" customHeight="false" outlineLevel="0" collapsed="false">
      <c r="D294" s="0" t="s">
        <v>18</v>
      </c>
      <c r="F294" s="4" t="n">
        <f aca="false">$F$17+$F$18</f>
        <v>0.2275</v>
      </c>
      <c r="G294" s="4" t="n">
        <f aca="false">$G$17+$G$18</f>
        <v>0.2275</v>
      </c>
      <c r="H294" s="4" t="n">
        <f aca="false">$H$17+$H$18</f>
        <v>0.1975</v>
      </c>
      <c r="I294" s="4" t="n">
        <f aca="false">$I$17+$I$18</f>
        <v>0.1575</v>
      </c>
      <c r="J294" s="4" t="n">
        <f aca="false">$J$17+$J$18</f>
        <v>0.1175</v>
      </c>
      <c r="K294" s="4" t="n">
        <f aca="false">$K$17+$K$18</f>
        <v>0.1175</v>
      </c>
      <c r="L294" s="4" t="n">
        <f aca="false">$L$17+$L$18</f>
        <v>0.1175</v>
      </c>
      <c r="M294" s="4" t="n">
        <f aca="false">$M$17+$M$18</f>
        <v>0.1175</v>
      </c>
      <c r="N294" s="4" t="n">
        <f aca="false">$N$17+$N$18</f>
        <v>0.1175</v>
      </c>
      <c r="O294" s="4" t="n">
        <f aca="false">$O$17+$O$18</f>
        <v>0.1575</v>
      </c>
      <c r="P294" s="4" t="n">
        <f aca="false">$P$17+$P$18</f>
        <v>0.2025</v>
      </c>
      <c r="Q294" s="4" t="n">
        <f aca="false">$Q$17+$Q$18</f>
        <v>0.2125</v>
      </c>
      <c r="R294" s="4" t="n">
        <f aca="false">$R$17+$R$18</f>
        <v>0.2325</v>
      </c>
      <c r="S294" s="4" t="n">
        <f aca="false">$S$17+$S$18</f>
        <v>0.2325</v>
      </c>
      <c r="T294" s="4" t="n">
        <f aca="false">$T$17+$T$18</f>
        <v>0.2025</v>
      </c>
    </row>
    <row r="295" customFormat="false" ht="12.75" hidden="false" customHeight="false" outlineLevel="0" collapsed="false"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 customFormat="false" ht="12.75" hidden="true" customHeight="false" outlineLevel="0" collapsed="false">
      <c r="C296" s="0" t="s">
        <v>19</v>
      </c>
      <c r="F296" s="10" t="n">
        <f aca="false">6865+24303</f>
        <v>31168</v>
      </c>
      <c r="G296" s="10" t="n">
        <f aca="false">7433+21859</f>
        <v>29292</v>
      </c>
      <c r="H296" s="10" t="n">
        <f aca="false">5792+18398</f>
        <v>24190</v>
      </c>
      <c r="I296" s="10" t="n">
        <f aca="false">6846+5552</f>
        <v>12398</v>
      </c>
      <c r="J296" s="10" t="n">
        <f aca="false">4757+2116</f>
        <v>6873</v>
      </c>
      <c r="K296" s="10" t="n">
        <f aca="false">3212+1222</f>
        <v>4434</v>
      </c>
      <c r="L296" s="10" t="n">
        <f aca="false">3031+671</f>
        <v>3702</v>
      </c>
      <c r="M296" s="10" t="n">
        <f aca="false">2985+495</f>
        <v>3480</v>
      </c>
      <c r="N296" s="10" t="n">
        <f aca="false">3045+405</f>
        <v>3450</v>
      </c>
      <c r="O296" s="10" t="n">
        <f aca="false">1217+804</f>
        <v>2021</v>
      </c>
      <c r="P296" s="10" t="n">
        <f aca="false">685+1056</f>
        <v>1741</v>
      </c>
      <c r="Q296" s="10" t="n">
        <f aca="false">483+2830</f>
        <v>3313</v>
      </c>
      <c r="R296" s="10" t="n">
        <f aca="false">552+4034</f>
        <v>4586</v>
      </c>
      <c r="S296" s="10" t="n">
        <f aca="false">438+2537</f>
        <v>2975</v>
      </c>
      <c r="T296" s="10" t="n">
        <f aca="false">234+2625</f>
        <v>2859</v>
      </c>
      <c r="U296" s="6"/>
      <c r="V296" s="6"/>
      <c r="W296" s="6"/>
      <c r="X296" s="6"/>
    </row>
    <row r="297" customFormat="false" ht="12.75" hidden="false" customHeight="false" outlineLevel="0" collapsed="false">
      <c r="A297" s="8"/>
      <c r="B297" s="8"/>
      <c r="C297" s="0" t="s">
        <v>19</v>
      </c>
      <c r="D297" s="8"/>
      <c r="E297" s="8"/>
      <c r="F297" s="10" t="n">
        <f aca="false">F296/31</f>
        <v>1005.41935483871</v>
      </c>
      <c r="G297" s="10" t="n">
        <f aca="false">G296/29</f>
        <v>1010.06896551724</v>
      </c>
      <c r="H297" s="10" t="n">
        <f aca="false">H296/31</f>
        <v>780.322580645161</v>
      </c>
      <c r="I297" s="10" t="n">
        <f aca="false">I296/30</f>
        <v>413.266666666667</v>
      </c>
      <c r="J297" s="10" t="n">
        <f aca="false">J296/31</f>
        <v>221.709677419355</v>
      </c>
      <c r="K297" s="10" t="n">
        <f aca="false">K296/30</f>
        <v>147.8</v>
      </c>
      <c r="L297" s="10" t="n">
        <f aca="false">L296/31</f>
        <v>119.41935483871</v>
      </c>
      <c r="M297" s="10" t="n">
        <f aca="false">M296/31</f>
        <v>112.258064516129</v>
      </c>
      <c r="N297" s="10" t="n">
        <f aca="false">N296/30</f>
        <v>115</v>
      </c>
      <c r="O297" s="10" t="n">
        <f aca="false">O296/31</f>
        <v>65.1935483870968</v>
      </c>
      <c r="P297" s="10" t="n">
        <f aca="false">P296/30</f>
        <v>58.0333333333333</v>
      </c>
      <c r="Q297" s="10" t="n">
        <f aca="false">Q296/31</f>
        <v>106.870967741935</v>
      </c>
      <c r="R297" s="10" t="n">
        <f aca="false">R296/31</f>
        <v>147.935483870968</v>
      </c>
      <c r="S297" s="10" t="n">
        <f aca="false">S296/28</f>
        <v>106.25</v>
      </c>
      <c r="T297" s="10" t="n">
        <f aca="false">T296/31</f>
        <v>92.2258064516129</v>
      </c>
      <c r="U297" s="6"/>
      <c r="V297" s="6"/>
      <c r="W297" s="6"/>
      <c r="X297" s="6"/>
    </row>
    <row r="298" customFormat="false" ht="12.75" hidden="false" customHeight="false" outlineLevel="0" collapsed="false">
      <c r="C298" s="0" t="s">
        <v>20</v>
      </c>
      <c r="F298" s="6" t="n">
        <v>0</v>
      </c>
      <c r="G298" s="6" t="n">
        <v>0</v>
      </c>
      <c r="H298" s="6" t="n">
        <v>0</v>
      </c>
      <c r="I298" s="6" t="n">
        <v>0</v>
      </c>
      <c r="J298" s="6" t="n">
        <v>0</v>
      </c>
      <c r="K298" s="6" t="n">
        <v>0</v>
      </c>
      <c r="L298" s="6" t="n">
        <v>0</v>
      </c>
      <c r="M298" s="6" t="n">
        <v>0</v>
      </c>
      <c r="N298" s="6" t="n">
        <v>0</v>
      </c>
      <c r="O298" s="6" t="n">
        <v>0</v>
      </c>
      <c r="P298" s="6" t="n">
        <v>0</v>
      </c>
      <c r="Q298" s="6" t="n">
        <v>0</v>
      </c>
      <c r="R298" s="6" t="n">
        <v>0</v>
      </c>
      <c r="S298" s="6" t="n">
        <v>0</v>
      </c>
      <c r="T298" s="6" t="n">
        <v>0</v>
      </c>
      <c r="U298" s="6"/>
      <c r="V298" s="6"/>
      <c r="W298" s="6"/>
      <c r="X298" s="6"/>
    </row>
    <row r="299" customFormat="false" ht="12.75" hidden="true" customHeight="false" outlineLevel="0" collapsed="false">
      <c r="C299" s="0" t="s">
        <v>21</v>
      </c>
      <c r="F299" s="10" t="n">
        <v>132721</v>
      </c>
      <c r="G299" s="10" t="n">
        <v>115807</v>
      </c>
      <c r="H299" s="10" t="n">
        <v>90142</v>
      </c>
      <c r="I299" s="10" t="n">
        <v>55602</v>
      </c>
      <c r="J299" s="10" t="n">
        <v>27554</v>
      </c>
      <c r="K299" s="10" t="n">
        <v>13514</v>
      </c>
      <c r="L299" s="10" t="n">
        <v>12831</v>
      </c>
      <c r="M299" s="10" t="n">
        <v>12955</v>
      </c>
      <c r="N299" s="10" t="n">
        <v>16472</v>
      </c>
      <c r="O299" s="10" t="n">
        <v>26930</v>
      </c>
      <c r="P299" s="10" t="n">
        <v>29299</v>
      </c>
      <c r="Q299" s="10" t="n">
        <v>39477</v>
      </c>
      <c r="R299" s="10" t="n">
        <v>17185</v>
      </c>
      <c r="S299" s="10" t="n">
        <v>7227</v>
      </c>
      <c r="T299" s="10" t="n">
        <v>2998</v>
      </c>
      <c r="U299" s="6"/>
      <c r="V299" s="6"/>
      <c r="W299" s="6"/>
      <c r="X299" s="6"/>
    </row>
    <row r="300" customFormat="false" ht="12.75" hidden="false" customHeight="false" outlineLevel="0" collapsed="false">
      <c r="A300" s="8"/>
      <c r="B300" s="8"/>
      <c r="C300" s="0" t="s">
        <v>21</v>
      </c>
      <c r="D300" s="8"/>
      <c r="E300" s="8"/>
      <c r="F300" s="10" t="n">
        <f aca="false">F299/31</f>
        <v>4281.32258064516</v>
      </c>
      <c r="G300" s="10" t="n">
        <v>4113</v>
      </c>
      <c r="H300" s="10" t="n">
        <f aca="false">H299/31</f>
        <v>2907.8064516129</v>
      </c>
      <c r="I300" s="10" t="n">
        <f aca="false">I299/30</f>
        <v>1853.4</v>
      </c>
      <c r="J300" s="10" t="n">
        <f aca="false">J299/31</f>
        <v>888.838709677419</v>
      </c>
      <c r="K300" s="10" t="n">
        <f aca="false">K299/30</f>
        <v>450.466666666667</v>
      </c>
      <c r="L300" s="10" t="n">
        <f aca="false">L299/31</f>
        <v>413.903225806452</v>
      </c>
      <c r="M300" s="10" t="n">
        <f aca="false">M299/31</f>
        <v>417.903225806452</v>
      </c>
      <c r="N300" s="10" t="n">
        <f aca="false">N299/30</f>
        <v>549.066666666667</v>
      </c>
      <c r="O300" s="10" t="n">
        <f aca="false">O299/31</f>
        <v>868.709677419355</v>
      </c>
      <c r="P300" s="10" t="n">
        <f aca="false">P299/30</f>
        <v>976.633333333333</v>
      </c>
      <c r="Q300" s="10" t="n">
        <f aca="false">Q299/31</f>
        <v>1273.45161290323</v>
      </c>
      <c r="R300" s="10" t="n">
        <f aca="false">R299/31</f>
        <v>554.354838709677</v>
      </c>
      <c r="S300" s="10" t="n">
        <f aca="false">S299/28</f>
        <v>258.107142857143</v>
      </c>
      <c r="T300" s="10" t="n">
        <f aca="false">T299/31</f>
        <v>96.7096774193548</v>
      </c>
      <c r="U300" s="6"/>
      <c r="V300" s="6"/>
      <c r="W300" s="6"/>
      <c r="X300" s="6"/>
    </row>
    <row r="301" customFormat="false" ht="12.75" hidden="false" customHeight="false" outlineLevel="0" collapsed="false">
      <c r="C301" s="0" t="s">
        <v>20</v>
      </c>
      <c r="F301" s="6" t="n">
        <v>6016</v>
      </c>
      <c r="G301" s="6" t="n">
        <v>6016</v>
      </c>
      <c r="H301" s="6" t="n">
        <v>6016</v>
      </c>
      <c r="I301" s="6" t="n">
        <v>0</v>
      </c>
      <c r="J301" s="6" t="n">
        <v>0</v>
      </c>
      <c r="K301" s="6" t="n">
        <v>0</v>
      </c>
      <c r="L301" s="6" t="n">
        <v>0</v>
      </c>
      <c r="M301" s="6" t="n">
        <v>0</v>
      </c>
      <c r="N301" s="6" t="n">
        <v>0</v>
      </c>
      <c r="O301" s="6" t="n">
        <v>0</v>
      </c>
      <c r="P301" s="6" t="n">
        <v>0</v>
      </c>
      <c r="Q301" s="6" t="n">
        <v>0</v>
      </c>
      <c r="R301" s="6" t="n">
        <v>0</v>
      </c>
      <c r="S301" s="6" t="n">
        <v>0</v>
      </c>
      <c r="T301" s="6" t="n">
        <v>0</v>
      </c>
      <c r="U301" s="6"/>
      <c r="V301" s="6"/>
      <c r="W301" s="6"/>
      <c r="X301" s="6"/>
    </row>
    <row r="302" customFormat="false" ht="12.75" hidden="false" customHeight="false" outlineLevel="0" collapsed="false">
      <c r="C302" s="0" t="s">
        <v>22</v>
      </c>
      <c r="F302" s="4" t="s">
        <v>77</v>
      </c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 customFormat="false" ht="12.75" hidden="false" customHeight="false" outlineLevel="0" collapsed="false"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 customFormat="false" ht="12.75" hidden="false" customHeight="false" outlineLevel="0" collapsed="false">
      <c r="B304" s="1" t="s">
        <v>67</v>
      </c>
      <c r="C304" s="1" t="s">
        <v>78</v>
      </c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 customFormat="false" ht="12.75" hidden="false" customHeight="false" outlineLevel="0" collapsed="false">
      <c r="D305" s="0" t="s">
        <v>17</v>
      </c>
      <c r="F305" s="4" t="n">
        <f aca="false">$F$17+$F$18</f>
        <v>0.2275</v>
      </c>
      <c r="G305" s="4" t="n">
        <f aca="false">$G$17+$G$18</f>
        <v>0.2275</v>
      </c>
      <c r="H305" s="4" t="n">
        <f aca="false">$H$17+$H$18</f>
        <v>0.1975</v>
      </c>
      <c r="I305" s="4" t="n">
        <f aca="false">$I$17+$I$18</f>
        <v>0.1575</v>
      </c>
      <c r="J305" s="4" t="n">
        <f aca="false">$J$17+$J$18</f>
        <v>0.1175</v>
      </c>
      <c r="K305" s="4" t="n">
        <f aca="false">$K$17+$K$18</f>
        <v>0.1175</v>
      </c>
      <c r="L305" s="4" t="n">
        <f aca="false">$L$17+$L$18</f>
        <v>0.1175</v>
      </c>
      <c r="M305" s="4" t="n">
        <f aca="false">$M$17+$M$18</f>
        <v>0.1175</v>
      </c>
      <c r="N305" s="4" t="n">
        <f aca="false">$N$17+$N$18</f>
        <v>0.1175</v>
      </c>
      <c r="O305" s="4" t="n">
        <f aca="false">$O$17+$O$18</f>
        <v>0.1575</v>
      </c>
      <c r="P305" s="4" t="n">
        <f aca="false">$P$17+$P$18</f>
        <v>0.2025</v>
      </c>
      <c r="Q305" s="4" t="n">
        <f aca="false">$Q$17+$Q$18</f>
        <v>0.2125</v>
      </c>
      <c r="R305" s="4" t="n">
        <f aca="false">$R$17+$R$18</f>
        <v>0.2325</v>
      </c>
      <c r="S305" s="4" t="n">
        <f aca="false">$S$17+$S$18</f>
        <v>0.2325</v>
      </c>
      <c r="T305" s="4" t="n">
        <f aca="false">$T$17+$T$18</f>
        <v>0.2025</v>
      </c>
    </row>
    <row r="306" customFormat="false" ht="12.75" hidden="false" customHeight="false" outlineLevel="0" collapsed="false">
      <c r="D306" s="0" t="s">
        <v>18</v>
      </c>
      <c r="F306" s="4" t="n">
        <f aca="false">$F$17+$F$18</f>
        <v>0.2275</v>
      </c>
      <c r="G306" s="4" t="n">
        <f aca="false">$G$17+$G$18</f>
        <v>0.2275</v>
      </c>
      <c r="H306" s="4" t="n">
        <f aca="false">$H$17+$H$18</f>
        <v>0.1975</v>
      </c>
      <c r="I306" s="4" t="n">
        <f aca="false">$I$17+$I$18</f>
        <v>0.1575</v>
      </c>
      <c r="J306" s="4" t="n">
        <f aca="false">$J$17+$J$18</f>
        <v>0.1175</v>
      </c>
      <c r="K306" s="4" t="n">
        <f aca="false">$K$17+$K$18</f>
        <v>0.1175</v>
      </c>
      <c r="L306" s="4" t="n">
        <f aca="false">$L$17+$L$18</f>
        <v>0.1175</v>
      </c>
      <c r="M306" s="4" t="n">
        <f aca="false">$M$17+$M$18</f>
        <v>0.1175</v>
      </c>
      <c r="N306" s="4" t="n">
        <f aca="false">$N$17+$N$18</f>
        <v>0.1175</v>
      </c>
      <c r="O306" s="4" t="n">
        <f aca="false">$O$17+$O$18</f>
        <v>0.1575</v>
      </c>
      <c r="P306" s="4" t="n">
        <f aca="false">$P$17+$P$18</f>
        <v>0.2025</v>
      </c>
      <c r="Q306" s="4" t="n">
        <f aca="false">$Q$17+$Q$18</f>
        <v>0.2125</v>
      </c>
      <c r="R306" s="4" t="n">
        <f aca="false">$R$17+$R$18</f>
        <v>0.2325</v>
      </c>
      <c r="S306" s="4" t="n">
        <f aca="false">$S$17+$S$18</f>
        <v>0.2325</v>
      </c>
      <c r="T306" s="4" t="n">
        <f aca="false">$T$17+$T$18</f>
        <v>0.2025</v>
      </c>
    </row>
    <row r="307" customFormat="false" ht="12.75" hidden="false" customHeight="false" outlineLevel="0" collapsed="false"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 customFormat="false" ht="12.75" hidden="true" customHeight="false" outlineLevel="0" collapsed="false">
      <c r="C308" s="0" t="s">
        <v>19</v>
      </c>
      <c r="F308" s="10" t="n">
        <v>222724</v>
      </c>
      <c r="G308" s="10" t="n">
        <v>201032</v>
      </c>
      <c r="H308" s="10" t="n">
        <v>167984</v>
      </c>
      <c r="I308" s="10" t="n">
        <v>44275</v>
      </c>
      <c r="J308" s="10" t="n">
        <v>37715</v>
      </c>
      <c r="K308" s="10" t="n">
        <v>22572</v>
      </c>
      <c r="L308" s="10" t="n">
        <v>16852</v>
      </c>
      <c r="M308" s="10" t="n">
        <v>18854</v>
      </c>
      <c r="N308" s="10" t="n">
        <v>18227</v>
      </c>
      <c r="O308" s="10" t="n">
        <v>16068</v>
      </c>
      <c r="P308" s="10" t="n">
        <v>27329</v>
      </c>
      <c r="Q308" s="10" t="n">
        <v>34334</v>
      </c>
      <c r="R308" s="10" t="n">
        <v>13265</v>
      </c>
      <c r="S308" s="10" t="n">
        <v>13678</v>
      </c>
      <c r="T308" s="10" t="n">
        <v>13228</v>
      </c>
      <c r="U308" s="6"/>
      <c r="V308" s="6"/>
      <c r="W308" s="6"/>
      <c r="X308" s="6"/>
    </row>
    <row r="309" customFormat="false" ht="12.75" hidden="false" customHeight="false" outlineLevel="0" collapsed="false">
      <c r="A309" s="8"/>
      <c r="B309" s="8"/>
      <c r="C309" s="0" t="s">
        <v>19</v>
      </c>
      <c r="D309" s="8"/>
      <c r="E309" s="8"/>
      <c r="F309" s="10" t="n">
        <f aca="false">F308/31</f>
        <v>7184.64516129032</v>
      </c>
      <c r="G309" s="10" t="n">
        <f aca="false">G308/29</f>
        <v>6932.13793103448</v>
      </c>
      <c r="H309" s="10" t="n">
        <f aca="false">H308/31</f>
        <v>5418.83870967742</v>
      </c>
      <c r="I309" s="10" t="n">
        <f aca="false">I308/30</f>
        <v>1475.83333333333</v>
      </c>
      <c r="J309" s="10" t="n">
        <f aca="false">J308/31</f>
        <v>1216.61290322581</v>
      </c>
      <c r="K309" s="10" t="n">
        <f aca="false">K308/30</f>
        <v>752.4</v>
      </c>
      <c r="L309" s="10" t="n">
        <f aca="false">L308/31</f>
        <v>543.612903225807</v>
      </c>
      <c r="M309" s="10" t="n">
        <f aca="false">M308/31</f>
        <v>608.193548387097</v>
      </c>
      <c r="N309" s="10" t="n">
        <f aca="false">N308/30</f>
        <v>607.566666666667</v>
      </c>
      <c r="O309" s="10" t="n">
        <f aca="false">O308/31</f>
        <v>518.322580645161</v>
      </c>
      <c r="P309" s="10" t="n">
        <f aca="false">P308/30</f>
        <v>910.966666666667</v>
      </c>
      <c r="Q309" s="10" t="n">
        <f aca="false">Q308/31</f>
        <v>1107.54838709677</v>
      </c>
      <c r="R309" s="10" t="n">
        <f aca="false">R308/31</f>
        <v>427.903225806452</v>
      </c>
      <c r="S309" s="10" t="n">
        <f aca="false">S308/28</f>
        <v>488.5</v>
      </c>
      <c r="T309" s="10" t="n">
        <f aca="false">T308/31</f>
        <v>426.709677419355</v>
      </c>
      <c r="U309" s="6"/>
      <c r="V309" s="6"/>
      <c r="W309" s="6"/>
      <c r="X309" s="6"/>
    </row>
    <row r="310" customFormat="false" ht="12.75" hidden="false" customHeight="false" outlineLevel="0" collapsed="false">
      <c r="C310" s="0" t="s">
        <v>20</v>
      </c>
      <c r="F310" s="6" t="n">
        <v>0</v>
      </c>
      <c r="G310" s="6" t="n">
        <v>0</v>
      </c>
      <c r="H310" s="6" t="n">
        <v>0</v>
      </c>
      <c r="I310" s="6" t="n">
        <v>0</v>
      </c>
      <c r="J310" s="6" t="n">
        <v>0</v>
      </c>
      <c r="K310" s="6" t="n">
        <v>0</v>
      </c>
      <c r="L310" s="6" t="n">
        <v>0</v>
      </c>
      <c r="M310" s="6" t="n">
        <v>0</v>
      </c>
      <c r="N310" s="6" t="n">
        <v>0</v>
      </c>
      <c r="O310" s="6" t="n">
        <v>0</v>
      </c>
      <c r="P310" s="6" t="n">
        <v>0</v>
      </c>
      <c r="Q310" s="6" t="n">
        <v>0</v>
      </c>
      <c r="R310" s="6" t="n">
        <v>0</v>
      </c>
      <c r="S310" s="6" t="n">
        <v>0</v>
      </c>
      <c r="T310" s="6" t="n">
        <v>0</v>
      </c>
      <c r="U310" s="6"/>
      <c r="V310" s="6"/>
      <c r="W310" s="6"/>
      <c r="X310" s="6"/>
    </row>
    <row r="311" customFormat="false" ht="12.75" hidden="true" customHeight="false" outlineLevel="0" collapsed="false">
      <c r="C311" s="0" t="s">
        <v>21</v>
      </c>
      <c r="F311" s="10" t="n">
        <v>145808</v>
      </c>
      <c r="G311" s="10" t="n">
        <v>127616</v>
      </c>
      <c r="H311" s="10" t="n">
        <v>99472</v>
      </c>
      <c r="I311" s="10" t="n">
        <v>61130</v>
      </c>
      <c r="J311" s="10" t="n">
        <v>30303</v>
      </c>
      <c r="K311" s="10" t="n">
        <v>15129</v>
      </c>
      <c r="L311" s="10" t="n">
        <v>14164</v>
      </c>
      <c r="M311" s="10" t="n">
        <v>14285</v>
      </c>
      <c r="N311" s="10" t="n">
        <v>18044</v>
      </c>
      <c r="O311" s="10" t="n">
        <v>29920</v>
      </c>
      <c r="P311" s="10" t="n">
        <v>33050</v>
      </c>
      <c r="Q311" s="10" t="n">
        <v>44541</v>
      </c>
      <c r="R311" s="10" t="n">
        <v>20795</v>
      </c>
      <c r="S311" s="10" t="n">
        <v>9319</v>
      </c>
      <c r="T311" s="10" t="n">
        <v>4226</v>
      </c>
      <c r="U311" s="6"/>
      <c r="V311" s="6"/>
      <c r="W311" s="6"/>
      <c r="X311" s="6"/>
    </row>
    <row r="312" customFormat="false" ht="12.75" hidden="false" customHeight="false" outlineLevel="0" collapsed="false">
      <c r="A312" s="8"/>
      <c r="B312" s="8"/>
      <c r="C312" s="0" t="s">
        <v>21</v>
      </c>
      <c r="D312" s="8"/>
      <c r="E312" s="8"/>
      <c r="F312" s="10" t="n">
        <f aca="false">F311/31</f>
        <v>4703.48387096774</v>
      </c>
      <c r="G312" s="10" t="n">
        <v>4533</v>
      </c>
      <c r="H312" s="10" t="n">
        <f aca="false">H311/31</f>
        <v>3208.77419354839</v>
      </c>
      <c r="I312" s="10" t="n">
        <f aca="false">I311/30</f>
        <v>2037.66666666667</v>
      </c>
      <c r="J312" s="10" t="n">
        <f aca="false">J311/31</f>
        <v>977.516129032258</v>
      </c>
      <c r="K312" s="10" t="n">
        <f aca="false">K311/30</f>
        <v>504.3</v>
      </c>
      <c r="L312" s="10" t="n">
        <f aca="false">L311/31</f>
        <v>456.903225806452</v>
      </c>
      <c r="M312" s="10" t="n">
        <f aca="false">M311/31</f>
        <v>460.806451612903</v>
      </c>
      <c r="N312" s="10" t="n">
        <f aca="false">N311/30</f>
        <v>601.466666666667</v>
      </c>
      <c r="O312" s="10" t="n">
        <f aca="false">O311/31</f>
        <v>965.161290322581</v>
      </c>
      <c r="P312" s="10" t="n">
        <f aca="false">P311/30</f>
        <v>1101.66666666667</v>
      </c>
      <c r="Q312" s="10" t="n">
        <f aca="false">Q311/31</f>
        <v>1436.8064516129</v>
      </c>
      <c r="R312" s="10" t="n">
        <f aca="false">R311/31</f>
        <v>670.806451612903</v>
      </c>
      <c r="S312" s="10" t="n">
        <f aca="false">S311/28</f>
        <v>332.821428571429</v>
      </c>
      <c r="T312" s="10" t="n">
        <f aca="false">T311/31</f>
        <v>136.322580645161</v>
      </c>
      <c r="U312" s="6"/>
      <c r="V312" s="6"/>
      <c r="W312" s="6"/>
      <c r="X312" s="6"/>
    </row>
    <row r="313" customFormat="false" ht="12.75" hidden="false" customHeight="false" outlineLevel="0" collapsed="false">
      <c r="C313" s="0" t="s">
        <v>20</v>
      </c>
      <c r="F313" s="6" t="n">
        <v>6692</v>
      </c>
      <c r="G313" s="6" t="n">
        <v>6692</v>
      </c>
      <c r="H313" s="6" t="n">
        <v>6692</v>
      </c>
      <c r="I313" s="6" t="n">
        <v>0</v>
      </c>
      <c r="J313" s="6" t="n">
        <v>0</v>
      </c>
      <c r="K313" s="6" t="n">
        <v>0</v>
      </c>
      <c r="L313" s="6" t="n">
        <v>0</v>
      </c>
      <c r="M313" s="6" t="n">
        <v>0</v>
      </c>
      <c r="N313" s="6" t="n">
        <v>0</v>
      </c>
      <c r="O313" s="6" t="n">
        <v>0</v>
      </c>
      <c r="P313" s="6" t="n">
        <v>0</v>
      </c>
      <c r="Q313" s="6" t="n">
        <v>0</v>
      </c>
      <c r="R313" s="6" t="n">
        <v>0</v>
      </c>
      <c r="S313" s="6" t="n">
        <v>0</v>
      </c>
      <c r="T313" s="6" t="n">
        <v>0</v>
      </c>
      <c r="U313" s="6"/>
      <c r="V313" s="6"/>
      <c r="W313" s="6"/>
      <c r="X313" s="6"/>
    </row>
    <row r="314" customFormat="false" ht="12.75" hidden="false" customHeight="false" outlineLevel="0" collapsed="false">
      <c r="C314" s="0" t="s">
        <v>22</v>
      </c>
      <c r="F314" s="4" t="s">
        <v>79</v>
      </c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 customFormat="false" ht="12.75" hidden="false" customHeight="false" outlineLevel="0" collapsed="false"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 customFormat="false" ht="12.75" hidden="false" customHeight="false" outlineLevel="0" collapsed="false">
      <c r="B316" s="1" t="s">
        <v>67</v>
      </c>
      <c r="C316" s="1" t="s">
        <v>80</v>
      </c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 customFormat="false" ht="12.75" hidden="false" customHeight="false" outlineLevel="0" collapsed="false">
      <c r="D317" s="0" t="s">
        <v>17</v>
      </c>
      <c r="F317" s="4" t="n">
        <f aca="false">$F$17+$F$18</f>
        <v>0.2275</v>
      </c>
      <c r="G317" s="4" t="n">
        <f aca="false">$G$17+$G$18</f>
        <v>0.2275</v>
      </c>
      <c r="H317" s="4" t="n">
        <f aca="false">$H$17+$H$18</f>
        <v>0.1975</v>
      </c>
      <c r="I317" s="4" t="n">
        <f aca="false">$I$17+$I$18</f>
        <v>0.1575</v>
      </c>
      <c r="J317" s="4" t="n">
        <f aca="false">$J$17+$J$18</f>
        <v>0.1175</v>
      </c>
      <c r="K317" s="4" t="n">
        <f aca="false">$K$17+$K$18</f>
        <v>0.1175</v>
      </c>
      <c r="L317" s="4" t="n">
        <f aca="false">$L$17+$L$18</f>
        <v>0.1175</v>
      </c>
      <c r="M317" s="4" t="n">
        <f aca="false">$M$17+$M$18</f>
        <v>0.1175</v>
      </c>
      <c r="N317" s="4" t="n">
        <f aca="false">$N$17+$N$18</f>
        <v>0.1175</v>
      </c>
      <c r="O317" s="4" t="n">
        <f aca="false">$O$17+$O$18</f>
        <v>0.1575</v>
      </c>
      <c r="P317" s="4" t="n">
        <f aca="false">$P$17+$P$18</f>
        <v>0.2025</v>
      </c>
      <c r="Q317" s="4" t="n">
        <f aca="false">$Q$17+$Q$18</f>
        <v>0.2125</v>
      </c>
      <c r="R317" s="4" t="n">
        <f aca="false">$R$17+$R$18</f>
        <v>0.2325</v>
      </c>
      <c r="S317" s="4" t="n">
        <f aca="false">$S$17+$S$18</f>
        <v>0.2325</v>
      </c>
      <c r="T317" s="4" t="n">
        <f aca="false">$T$17+$T$18</f>
        <v>0.2025</v>
      </c>
    </row>
    <row r="318" customFormat="false" ht="12.75" hidden="false" customHeight="false" outlineLevel="0" collapsed="false">
      <c r="D318" s="0" t="s">
        <v>18</v>
      </c>
      <c r="F318" s="4" t="n">
        <f aca="false">$F$17+$F$18</f>
        <v>0.2275</v>
      </c>
      <c r="G318" s="4" t="n">
        <f aca="false">$G$17+$G$18</f>
        <v>0.2275</v>
      </c>
      <c r="H318" s="4" t="n">
        <f aca="false">$H$17+$H$18</f>
        <v>0.1975</v>
      </c>
      <c r="I318" s="4" t="n">
        <f aca="false">$I$17+$I$18</f>
        <v>0.1575</v>
      </c>
      <c r="J318" s="4" t="n">
        <f aca="false">$J$17+$J$18</f>
        <v>0.1175</v>
      </c>
      <c r="K318" s="4" t="n">
        <f aca="false">$K$17+$K$18</f>
        <v>0.1175</v>
      </c>
      <c r="L318" s="4" t="n">
        <f aca="false">$L$17+$L$18</f>
        <v>0.1175</v>
      </c>
      <c r="M318" s="4" t="n">
        <f aca="false">$M$17+$M$18</f>
        <v>0.1175</v>
      </c>
      <c r="N318" s="4" t="n">
        <f aca="false">$N$17+$N$18</f>
        <v>0.1175</v>
      </c>
      <c r="O318" s="4" t="n">
        <f aca="false">$O$17+$O$18</f>
        <v>0.1575</v>
      </c>
      <c r="P318" s="4" t="n">
        <f aca="false">$P$17+$P$18</f>
        <v>0.2025</v>
      </c>
      <c r="Q318" s="4" t="n">
        <f aca="false">$Q$17+$Q$18</f>
        <v>0.2125</v>
      </c>
      <c r="R318" s="4" t="n">
        <f aca="false">$R$17+$R$18</f>
        <v>0.2325</v>
      </c>
      <c r="S318" s="4" t="n">
        <f aca="false">$S$17+$S$18</f>
        <v>0.2325</v>
      </c>
      <c r="T318" s="4" t="n">
        <f aca="false">$T$17+$T$18</f>
        <v>0.2025</v>
      </c>
    </row>
    <row r="319" customFormat="false" ht="12.75" hidden="false" customHeight="false" outlineLevel="0" collapsed="false"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</row>
    <row r="320" customFormat="false" ht="12.75" hidden="true" customHeight="false" outlineLevel="0" collapsed="false">
      <c r="C320" s="0" t="s">
        <v>19</v>
      </c>
      <c r="F320" s="10" t="n">
        <f aca="false">267012+100000</f>
        <v>367012</v>
      </c>
      <c r="G320" s="10" t="n">
        <f aca="false">291828+50000</f>
        <v>341828</v>
      </c>
      <c r="H320" s="10" t="n">
        <v>299151</v>
      </c>
      <c r="I320" s="10" t="n">
        <v>159628</v>
      </c>
      <c r="J320" s="10" t="n">
        <v>111260</v>
      </c>
      <c r="K320" s="10" t="n">
        <v>109750</v>
      </c>
      <c r="L320" s="10" t="n">
        <v>97026</v>
      </c>
      <c r="M320" s="10" t="n">
        <v>101044</v>
      </c>
      <c r="N320" s="10" t="n">
        <v>101689</v>
      </c>
      <c r="O320" s="10" t="n">
        <v>109668</v>
      </c>
      <c r="P320" s="10" t="n">
        <v>10877</v>
      </c>
      <c r="Q320" s="10" t="n">
        <v>11672</v>
      </c>
      <c r="R320" s="10" t="n">
        <v>13011</v>
      </c>
      <c r="S320" s="10" t="n">
        <v>9726</v>
      </c>
      <c r="T320" s="10" t="n">
        <v>8507</v>
      </c>
      <c r="U320" s="6"/>
      <c r="V320" s="6"/>
      <c r="W320" s="6"/>
    </row>
    <row r="321" customFormat="false" ht="12.75" hidden="false" customHeight="false" outlineLevel="0" collapsed="false">
      <c r="A321" s="8"/>
      <c r="B321" s="8"/>
      <c r="C321" s="0" t="s">
        <v>19</v>
      </c>
      <c r="D321" s="8"/>
      <c r="E321" s="8"/>
      <c r="F321" s="10" t="n">
        <f aca="false">F320/31</f>
        <v>11839.0967741936</v>
      </c>
      <c r="G321" s="10" t="n">
        <f aca="false">G320/29</f>
        <v>11787.1724137931</v>
      </c>
      <c r="H321" s="10" t="n">
        <f aca="false">H320/31</f>
        <v>9650.03225806452</v>
      </c>
      <c r="I321" s="10" t="n">
        <f aca="false">I320/30</f>
        <v>5320.93333333333</v>
      </c>
      <c r="J321" s="10" t="n">
        <f aca="false">J320/31</f>
        <v>3589.03225806452</v>
      </c>
      <c r="K321" s="10" t="n">
        <f aca="false">K320/30</f>
        <v>3658.33333333333</v>
      </c>
      <c r="L321" s="10" t="n">
        <f aca="false">L320/31</f>
        <v>3129.87096774194</v>
      </c>
      <c r="M321" s="10" t="n">
        <f aca="false">M320/31</f>
        <v>3259.48387096774</v>
      </c>
      <c r="N321" s="10" t="n">
        <f aca="false">N320/30</f>
        <v>3389.63333333333</v>
      </c>
      <c r="O321" s="10" t="n">
        <f aca="false">O320/31</f>
        <v>3537.67741935484</v>
      </c>
      <c r="P321" s="10" t="n">
        <f aca="false">P320/30</f>
        <v>362.566666666667</v>
      </c>
      <c r="Q321" s="10" t="n">
        <f aca="false">Q320/31</f>
        <v>376.516129032258</v>
      </c>
      <c r="R321" s="10" t="n">
        <f aca="false">R320/31</f>
        <v>419.709677419355</v>
      </c>
      <c r="S321" s="10" t="n">
        <f aca="false">S320/28</f>
        <v>347.357142857143</v>
      </c>
      <c r="T321" s="10" t="n">
        <f aca="false">T320/31</f>
        <v>274.41935483871</v>
      </c>
      <c r="U321" s="6"/>
      <c r="V321" s="6"/>
      <c r="W321" s="6"/>
    </row>
    <row r="322" customFormat="false" ht="12.75" hidden="false" customHeight="false" outlineLevel="0" collapsed="false">
      <c r="C322" s="0" t="s">
        <v>20</v>
      </c>
      <c r="F322" s="6" t="n">
        <v>0</v>
      </c>
      <c r="G322" s="6" t="n">
        <v>0</v>
      </c>
      <c r="H322" s="6" t="n">
        <v>0</v>
      </c>
      <c r="I322" s="6" t="n">
        <v>0</v>
      </c>
      <c r="J322" s="6" t="n">
        <v>0</v>
      </c>
      <c r="K322" s="6" t="n">
        <v>0</v>
      </c>
      <c r="L322" s="6" t="n">
        <v>0</v>
      </c>
      <c r="M322" s="6" t="n">
        <v>0</v>
      </c>
      <c r="N322" s="6" t="n">
        <v>0</v>
      </c>
      <c r="O322" s="6" t="n">
        <v>0</v>
      </c>
      <c r="P322" s="6" t="n">
        <v>0</v>
      </c>
      <c r="Q322" s="6" t="n">
        <v>0</v>
      </c>
      <c r="R322" s="6" t="n">
        <v>0</v>
      </c>
      <c r="S322" s="6" t="n">
        <v>0</v>
      </c>
      <c r="T322" s="6" t="n">
        <v>0</v>
      </c>
      <c r="U322" s="6"/>
      <c r="V322" s="6"/>
      <c r="W322" s="6"/>
    </row>
    <row r="323" customFormat="false" ht="12.75" hidden="true" customHeight="false" outlineLevel="0" collapsed="false">
      <c r="C323" s="0" t="s">
        <v>21</v>
      </c>
      <c r="F323" s="10" t="n">
        <v>172714</v>
      </c>
      <c r="G323" s="10" t="n">
        <v>151457</v>
      </c>
      <c r="H323" s="10" t="n">
        <v>118160</v>
      </c>
      <c r="I323" s="10" t="n">
        <v>72444</v>
      </c>
      <c r="J323" s="10" t="n">
        <v>35919</v>
      </c>
      <c r="K323" s="10" t="n">
        <v>18133</v>
      </c>
      <c r="L323" s="10" t="n">
        <v>16828</v>
      </c>
      <c r="M323" s="10" t="n">
        <v>16961</v>
      </c>
      <c r="N323" s="10" t="n">
        <v>21336</v>
      </c>
      <c r="O323" s="10" t="n">
        <v>35693</v>
      </c>
      <c r="P323" s="10" t="n">
        <v>39795</v>
      </c>
      <c r="Q323" s="10" t="n">
        <v>53638</v>
      </c>
      <c r="R323" s="10" t="n">
        <v>26067</v>
      </c>
      <c r="S323" s="10" t="n">
        <v>12071</v>
      </c>
      <c r="T323" s="10" t="n">
        <v>5705</v>
      </c>
      <c r="U323" s="6"/>
      <c r="V323" s="6"/>
      <c r="W323" s="6"/>
    </row>
    <row r="324" customFormat="false" ht="12.75" hidden="false" customHeight="false" outlineLevel="0" collapsed="false">
      <c r="A324" s="8"/>
      <c r="B324" s="8"/>
      <c r="C324" s="0" t="s">
        <v>21</v>
      </c>
      <c r="D324" s="8"/>
      <c r="E324" s="8"/>
      <c r="F324" s="10" t="n">
        <f aca="false">F323/31</f>
        <v>5571.41935483871</v>
      </c>
      <c r="G324" s="10" t="n">
        <v>5379</v>
      </c>
      <c r="H324" s="10" t="n">
        <f aca="false">H323/31</f>
        <v>3811.61290322581</v>
      </c>
      <c r="I324" s="10" t="n">
        <f aca="false">I323/30</f>
        <v>2414.8</v>
      </c>
      <c r="J324" s="10" t="n">
        <f aca="false">J323/31</f>
        <v>1158.67741935484</v>
      </c>
      <c r="K324" s="10" t="n">
        <f aca="false">K323/30</f>
        <v>604.433333333333</v>
      </c>
      <c r="L324" s="10" t="n">
        <f aca="false">L323/31</f>
        <v>542.838709677419</v>
      </c>
      <c r="M324" s="10" t="n">
        <f aca="false">M323/31</f>
        <v>547.129032258065</v>
      </c>
      <c r="N324" s="10" t="n">
        <f aca="false">N323/30</f>
        <v>711.2</v>
      </c>
      <c r="O324" s="10" t="n">
        <f aca="false">O323/31</f>
        <v>1151.38709677419</v>
      </c>
      <c r="P324" s="10" t="n">
        <f aca="false">P323/30</f>
        <v>1326.5</v>
      </c>
      <c r="Q324" s="10" t="n">
        <f aca="false">Q323/31</f>
        <v>1730.25806451613</v>
      </c>
      <c r="R324" s="10" t="n">
        <f aca="false">R323/31</f>
        <v>840.870967741936</v>
      </c>
      <c r="S324" s="10" t="n">
        <f aca="false">S323/28</f>
        <v>431.107142857143</v>
      </c>
      <c r="T324" s="10" t="n">
        <f aca="false">T323/31</f>
        <v>184.032258064516</v>
      </c>
      <c r="U324" s="6"/>
      <c r="V324" s="6"/>
      <c r="W324" s="6"/>
    </row>
    <row r="325" customFormat="false" ht="12.75" hidden="false" customHeight="false" outlineLevel="0" collapsed="false">
      <c r="C325" s="0" t="s">
        <v>20</v>
      </c>
      <c r="F325" s="6" t="n">
        <v>7950</v>
      </c>
      <c r="G325" s="6" t="n">
        <v>7950</v>
      </c>
      <c r="H325" s="6" t="n">
        <v>7950</v>
      </c>
      <c r="I325" s="6" t="n">
        <v>0</v>
      </c>
      <c r="J325" s="6" t="n">
        <v>0</v>
      </c>
      <c r="K325" s="6" t="n">
        <v>0</v>
      </c>
      <c r="L325" s="6" t="n">
        <v>0</v>
      </c>
      <c r="M325" s="6" t="n">
        <v>0</v>
      </c>
      <c r="N325" s="6" t="n">
        <v>0</v>
      </c>
      <c r="O325" s="6" t="n">
        <v>0</v>
      </c>
      <c r="P325" s="6" t="n">
        <v>0</v>
      </c>
      <c r="Q325" s="6" t="n">
        <v>0</v>
      </c>
      <c r="R325" s="6" t="n">
        <v>0</v>
      </c>
      <c r="S325" s="6" t="n">
        <v>0</v>
      </c>
      <c r="T325" s="6" t="n">
        <v>0</v>
      </c>
      <c r="U325" s="6"/>
      <c r="V325" s="6"/>
      <c r="W325" s="6"/>
    </row>
    <row r="326" customFormat="false" ht="12.75" hidden="false" customHeight="false" outlineLevel="0" collapsed="false">
      <c r="C326" s="0" t="s">
        <v>22</v>
      </c>
      <c r="F326" s="4" t="s">
        <v>79</v>
      </c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 customFormat="false" ht="12.75" hidden="false" customHeight="false" outlineLevel="0" collapsed="false"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 customFormat="false" ht="12.75" hidden="false" customHeight="false" outlineLevel="0" collapsed="false">
      <c r="B328" s="1" t="s">
        <v>81</v>
      </c>
      <c r="C328" s="1" t="s">
        <v>82</v>
      </c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 customFormat="false" ht="12.75" hidden="false" customHeight="false" outlineLevel="0" collapsed="false">
      <c r="D329" s="0" t="s">
        <v>17</v>
      </c>
      <c r="F329" s="4" t="n">
        <f aca="false">$F$17+$F$18</f>
        <v>0.2275</v>
      </c>
      <c r="G329" s="4" t="n">
        <f aca="false">$G$17+$G$18</f>
        <v>0.2275</v>
      </c>
      <c r="H329" s="4" t="n">
        <f aca="false">$H$17+$H$18</f>
        <v>0.1975</v>
      </c>
      <c r="I329" s="4" t="n">
        <f aca="false">$I$17+$I$18</f>
        <v>0.1575</v>
      </c>
      <c r="J329" s="4" t="n">
        <f aca="false">$J$17+$J$18</f>
        <v>0.1175</v>
      </c>
      <c r="K329" s="4" t="n">
        <f aca="false">$K$17+$K$18</f>
        <v>0.1175</v>
      </c>
      <c r="L329" s="4" t="n">
        <f aca="false">$L$17+$L$18</f>
        <v>0.1175</v>
      </c>
      <c r="M329" s="4" t="n">
        <f aca="false">$M$17+$M$18</f>
        <v>0.1175</v>
      </c>
      <c r="N329" s="4" t="n">
        <f aca="false">$N$17+$N$18</f>
        <v>0.1175</v>
      </c>
      <c r="O329" s="4" t="n">
        <f aca="false">$O$17+$O$18</f>
        <v>0.1575</v>
      </c>
      <c r="P329" s="4" t="n">
        <f aca="false">$P$17+$P$18</f>
        <v>0.2025</v>
      </c>
      <c r="Q329" s="4" t="n">
        <f aca="false">$Q$17+$Q$18</f>
        <v>0.2125</v>
      </c>
      <c r="R329" s="4" t="n">
        <f aca="false">$R$17+$R$18</f>
        <v>0.2325</v>
      </c>
      <c r="S329" s="4" t="n">
        <f aca="false">$S$17+$S$18</f>
        <v>0.2325</v>
      </c>
      <c r="T329" s="4" t="n">
        <f aca="false">$T$17+$T$18</f>
        <v>0.2025</v>
      </c>
    </row>
    <row r="330" customFormat="false" ht="12.75" hidden="false" customHeight="false" outlineLevel="0" collapsed="false">
      <c r="D330" s="0" t="s">
        <v>18</v>
      </c>
      <c r="F330" s="4" t="n">
        <f aca="false">$F$17+$F$18</f>
        <v>0.2275</v>
      </c>
      <c r="G330" s="4" t="n">
        <f aca="false">$G$17+$G$18</f>
        <v>0.2275</v>
      </c>
      <c r="H330" s="4" t="n">
        <f aca="false">$H$17+$H$18</f>
        <v>0.1975</v>
      </c>
      <c r="I330" s="4" t="n">
        <f aca="false">$I$17+$I$18</f>
        <v>0.1575</v>
      </c>
      <c r="J330" s="4" t="n">
        <f aca="false">$J$17+$J$18</f>
        <v>0.1175</v>
      </c>
      <c r="K330" s="4" t="n">
        <f aca="false">$K$17+$K$18</f>
        <v>0.1175</v>
      </c>
      <c r="L330" s="4" t="n">
        <f aca="false">$L$17+$L$18</f>
        <v>0.1175</v>
      </c>
      <c r="M330" s="4" t="n">
        <f aca="false">$M$17+$M$18</f>
        <v>0.1175</v>
      </c>
      <c r="N330" s="4" t="n">
        <f aca="false">$N$17+$N$18</f>
        <v>0.1175</v>
      </c>
      <c r="O330" s="4" t="n">
        <f aca="false">$O$17+$O$18</f>
        <v>0.1575</v>
      </c>
      <c r="P330" s="4" t="n">
        <f aca="false">$P$17+$P$18</f>
        <v>0.2025</v>
      </c>
      <c r="Q330" s="4" t="n">
        <f aca="false">$Q$17+$Q$18</f>
        <v>0.2125</v>
      </c>
      <c r="R330" s="4" t="n">
        <f aca="false">$R$17+$R$18</f>
        <v>0.2325</v>
      </c>
      <c r="S330" s="4" t="n">
        <f aca="false">$S$17+$S$18</f>
        <v>0.2325</v>
      </c>
      <c r="T330" s="4" t="n">
        <f aca="false">$T$17+$T$18</f>
        <v>0.2025</v>
      </c>
    </row>
    <row r="331" customFormat="false" ht="12.75" hidden="false" customHeight="false" outlineLevel="0" collapsed="false"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 customFormat="false" ht="12.75" hidden="true" customHeight="false" outlineLevel="0" collapsed="false">
      <c r="C332" s="0" t="s">
        <v>19</v>
      </c>
      <c r="F332" s="10" t="n">
        <f aca="false">30297+3250+279</f>
        <v>33826</v>
      </c>
      <c r="G332" s="10" t="n">
        <f aca="false">25044+2500+261</f>
        <v>27805</v>
      </c>
      <c r="H332" s="10" t="n">
        <f aca="false">18609+3340+279</f>
        <v>22228</v>
      </c>
      <c r="I332" s="10" t="n">
        <v>23882</v>
      </c>
      <c r="J332" s="10" t="n">
        <v>27128</v>
      </c>
      <c r="K332" s="10" t="n">
        <v>14670</v>
      </c>
      <c r="L332" s="10" t="n">
        <v>13796</v>
      </c>
      <c r="M332" s="10" t="n">
        <v>7989</v>
      </c>
      <c r="N332" s="10" t="n">
        <v>7739</v>
      </c>
      <c r="O332" s="10" t="n">
        <v>7739</v>
      </c>
      <c r="P332" s="10" t="n">
        <v>6009</v>
      </c>
      <c r="Q332" s="6" t="n">
        <v>0</v>
      </c>
      <c r="R332" s="6" t="n">
        <v>0</v>
      </c>
      <c r="S332" s="6" t="n">
        <v>0</v>
      </c>
      <c r="T332" s="6" t="n">
        <v>0</v>
      </c>
      <c r="U332" s="6"/>
      <c r="V332" s="6"/>
      <c r="W332" s="6"/>
      <c r="X332" s="6"/>
      <c r="Y332" s="6"/>
      <c r="Z332" s="6"/>
      <c r="AA332" s="6"/>
      <c r="AB332" s="6"/>
    </row>
    <row r="333" customFormat="false" ht="12.75" hidden="false" customHeight="false" outlineLevel="0" collapsed="false">
      <c r="A333" s="8"/>
      <c r="B333" s="8"/>
      <c r="C333" s="0" t="s">
        <v>19</v>
      </c>
      <c r="D333" s="8"/>
      <c r="E333" s="8"/>
      <c r="F333" s="10" t="n">
        <f aca="false">F332/31</f>
        <v>1091.16129032258</v>
      </c>
      <c r="G333" s="10" t="n">
        <f aca="false">G332/29</f>
        <v>958.793103448276</v>
      </c>
      <c r="H333" s="10" t="n">
        <f aca="false">H332/31</f>
        <v>717.032258064516</v>
      </c>
      <c r="I333" s="10" t="n">
        <f aca="false">I332/30</f>
        <v>796.066666666667</v>
      </c>
      <c r="J333" s="10" t="n">
        <f aca="false">J332/31</f>
        <v>875.096774193548</v>
      </c>
      <c r="K333" s="10" t="n">
        <f aca="false">K332/30</f>
        <v>489</v>
      </c>
      <c r="L333" s="10" t="n">
        <f aca="false">L332/31</f>
        <v>445.032258064516</v>
      </c>
      <c r="M333" s="10" t="n">
        <f aca="false">M332/31</f>
        <v>257.709677419355</v>
      </c>
      <c r="N333" s="10" t="n">
        <f aca="false">N332/30</f>
        <v>257.966666666667</v>
      </c>
      <c r="O333" s="10" t="n">
        <f aca="false">O332/31</f>
        <v>249.645161290323</v>
      </c>
      <c r="P333" s="10" t="n">
        <f aca="false">P332/30</f>
        <v>200.3</v>
      </c>
      <c r="Q333" s="10" t="n">
        <f aca="false">Q332/31</f>
        <v>0</v>
      </c>
      <c r="R333" s="10" t="n">
        <f aca="false">R332/31</f>
        <v>0</v>
      </c>
      <c r="S333" s="10" t="n">
        <f aca="false">S332/28</f>
        <v>0</v>
      </c>
      <c r="T333" s="10" t="n">
        <f aca="false">T332/31</f>
        <v>0</v>
      </c>
      <c r="U333" s="6"/>
      <c r="V333" s="6"/>
      <c r="W333" s="6"/>
      <c r="X333" s="6"/>
      <c r="Y333" s="6"/>
      <c r="Z333" s="6"/>
      <c r="AA333" s="6"/>
      <c r="AB333" s="6"/>
    </row>
    <row r="334" customFormat="false" ht="12.75" hidden="false" customHeight="false" outlineLevel="0" collapsed="false">
      <c r="C334" s="0" t="s">
        <v>20</v>
      </c>
      <c r="F334" s="6" t="n">
        <v>0</v>
      </c>
      <c r="G334" s="6" t="n">
        <v>0</v>
      </c>
      <c r="H334" s="6" t="n">
        <v>0</v>
      </c>
      <c r="I334" s="6" t="n">
        <v>0</v>
      </c>
      <c r="J334" s="6" t="n">
        <v>0</v>
      </c>
      <c r="K334" s="6" t="n">
        <v>0</v>
      </c>
      <c r="L334" s="6" t="n">
        <v>0</v>
      </c>
      <c r="M334" s="6" t="n">
        <v>0</v>
      </c>
      <c r="N334" s="6" t="n">
        <v>0</v>
      </c>
      <c r="O334" s="6" t="n">
        <v>0</v>
      </c>
      <c r="P334" s="6" t="n">
        <v>0</v>
      </c>
      <c r="Q334" s="6" t="n">
        <v>0</v>
      </c>
      <c r="R334" s="6" t="n">
        <v>0</v>
      </c>
      <c r="S334" s="6" t="n">
        <v>0</v>
      </c>
      <c r="T334" s="6" t="n">
        <v>0</v>
      </c>
      <c r="U334" s="6"/>
      <c r="V334" s="6"/>
      <c r="W334" s="6"/>
      <c r="X334" s="6"/>
      <c r="Y334" s="6"/>
      <c r="Z334" s="6"/>
      <c r="AA334" s="6"/>
      <c r="AB334" s="6"/>
    </row>
    <row r="335" customFormat="false" ht="12.75" hidden="true" customHeight="false" outlineLevel="0" collapsed="false">
      <c r="C335" s="0" t="s">
        <v>21</v>
      </c>
      <c r="F335" s="10" t="n">
        <f aca="false">88+1039+1045+129</f>
        <v>2301</v>
      </c>
      <c r="G335" s="10" t="n">
        <f aca="false">79+937+1044+128</f>
        <v>2188</v>
      </c>
      <c r="H335" s="10" t="n">
        <f aca="false">82+1035+1044+128</f>
        <v>2289</v>
      </c>
      <c r="I335" s="10" t="n">
        <f aca="false">78+1001+1044+127</f>
        <v>2250</v>
      </c>
      <c r="J335" s="10" t="n">
        <f aca="false">79+1019+1044+127</f>
        <v>2269</v>
      </c>
      <c r="K335" s="10" t="n">
        <f aca="false">77+981+32+126</f>
        <v>1216</v>
      </c>
      <c r="L335" s="10" t="n">
        <f aca="false">79+1012+32+126</f>
        <v>1249</v>
      </c>
      <c r="M335" s="10" t="n">
        <f aca="false">79+1007+32+125</f>
        <v>1243</v>
      </c>
      <c r="N335" s="10" t="n">
        <f aca="false">74+970+32+125</f>
        <v>1201</v>
      </c>
      <c r="O335" s="10" t="n">
        <f aca="false">76+997+32+124</f>
        <v>1229</v>
      </c>
      <c r="P335" s="10" t="n">
        <f aca="false">73+960+32</f>
        <v>1065</v>
      </c>
      <c r="Q335" s="10" t="n">
        <f aca="false">76+775+32</f>
        <v>883</v>
      </c>
      <c r="R335" s="10" t="n">
        <f aca="false">69+768</f>
        <v>837</v>
      </c>
      <c r="S335" s="10" t="n">
        <f aca="false">58+690</f>
        <v>748</v>
      </c>
      <c r="T335" s="10" t="n">
        <f aca="false">63+529</f>
        <v>592</v>
      </c>
      <c r="U335" s="6"/>
      <c r="V335" s="6"/>
      <c r="W335" s="6"/>
      <c r="X335" s="6"/>
      <c r="Y335" s="6"/>
      <c r="Z335" s="6"/>
      <c r="AA335" s="6"/>
      <c r="AB335" s="6"/>
    </row>
    <row r="336" customFormat="false" ht="12.75" hidden="false" customHeight="false" outlineLevel="0" collapsed="false">
      <c r="A336" s="8"/>
      <c r="B336" s="8"/>
      <c r="C336" s="0" t="s">
        <v>21</v>
      </c>
      <c r="D336" s="8"/>
      <c r="E336" s="8"/>
      <c r="F336" s="10" t="n">
        <f aca="false">F335/31</f>
        <v>74.2258064516129</v>
      </c>
      <c r="G336" s="10" t="n">
        <v>78</v>
      </c>
      <c r="H336" s="10" t="n">
        <f aca="false">H335/31</f>
        <v>73.8387096774194</v>
      </c>
      <c r="I336" s="10" t="n">
        <f aca="false">I335/30</f>
        <v>75</v>
      </c>
      <c r="J336" s="10" t="n">
        <f aca="false">J335/31</f>
        <v>73.1935483870968</v>
      </c>
      <c r="K336" s="10" t="n">
        <f aca="false">K335/30</f>
        <v>40.5333333333333</v>
      </c>
      <c r="L336" s="10" t="n">
        <f aca="false">L335/31</f>
        <v>40.2903225806452</v>
      </c>
      <c r="M336" s="10" t="n">
        <f aca="false">M335/31</f>
        <v>40.0967741935484</v>
      </c>
      <c r="N336" s="10" t="n">
        <f aca="false">N335/30</f>
        <v>40.0333333333333</v>
      </c>
      <c r="O336" s="10" t="n">
        <f aca="false">O335/31</f>
        <v>39.6451612903226</v>
      </c>
      <c r="P336" s="10" t="n">
        <f aca="false">P335/30</f>
        <v>35.5</v>
      </c>
      <c r="Q336" s="10" t="n">
        <f aca="false">Q335/31</f>
        <v>28.4838709677419</v>
      </c>
      <c r="R336" s="10" t="n">
        <f aca="false">R335/31</f>
        <v>27</v>
      </c>
      <c r="S336" s="10" t="n">
        <f aca="false">S335/28</f>
        <v>26.7142857142857</v>
      </c>
      <c r="T336" s="10" t="n">
        <f aca="false">T335/31</f>
        <v>19.0967741935484</v>
      </c>
      <c r="U336" s="6"/>
      <c r="V336" s="6"/>
      <c r="W336" s="6"/>
      <c r="X336" s="6"/>
      <c r="Y336" s="6"/>
      <c r="Z336" s="6"/>
      <c r="AA336" s="6"/>
      <c r="AB336" s="6"/>
    </row>
    <row r="337" customFormat="false" ht="12.75" hidden="false" customHeight="false" outlineLevel="0" collapsed="false">
      <c r="C337" s="0" t="s">
        <v>20</v>
      </c>
      <c r="F337" s="6" t="n">
        <v>80</v>
      </c>
      <c r="G337" s="6" t="n">
        <v>80</v>
      </c>
      <c r="H337" s="6" t="n">
        <v>80</v>
      </c>
      <c r="I337" s="6" t="n">
        <v>75</v>
      </c>
      <c r="J337" s="6" t="n">
        <v>75</v>
      </c>
      <c r="K337" s="6" t="n">
        <v>59</v>
      </c>
      <c r="L337" s="6" t="n">
        <v>59</v>
      </c>
      <c r="M337" s="6" t="n">
        <v>58</v>
      </c>
      <c r="N337" s="6" t="n">
        <v>55</v>
      </c>
      <c r="O337" s="6" t="n">
        <v>54</v>
      </c>
      <c r="P337" s="6" t="n">
        <v>0</v>
      </c>
      <c r="Q337" s="6" t="n">
        <v>0</v>
      </c>
      <c r="R337" s="6" t="n">
        <v>0</v>
      </c>
      <c r="S337" s="6" t="n">
        <v>0</v>
      </c>
      <c r="T337" s="6" t="n">
        <v>0</v>
      </c>
      <c r="U337" s="6"/>
      <c r="V337" s="6"/>
      <c r="W337" s="6"/>
      <c r="X337" s="6"/>
      <c r="Y337" s="6"/>
      <c r="Z337" s="6"/>
      <c r="AA337" s="6"/>
      <c r="AB337" s="6"/>
    </row>
    <row r="338" customFormat="false" ht="12.75" hidden="false" customHeight="false" outlineLevel="0" collapsed="false">
      <c r="C338" s="0" t="s">
        <v>22</v>
      </c>
      <c r="F338" s="4" t="s">
        <v>83</v>
      </c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 customFormat="false" ht="12.75" hidden="false" customHeight="false" outlineLevel="0" collapsed="false"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 customFormat="false" ht="12.75" hidden="false" customHeight="false" outlineLevel="0" collapsed="false">
      <c r="B340" s="1" t="s">
        <v>81</v>
      </c>
      <c r="C340" s="1" t="s">
        <v>84</v>
      </c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 customFormat="false" ht="12.75" hidden="false" customHeight="false" outlineLevel="0" collapsed="false">
      <c r="D341" s="0" t="s">
        <v>17</v>
      </c>
      <c r="F341" s="4" t="n">
        <f aca="false">$F$17+$F$18</f>
        <v>0.2275</v>
      </c>
      <c r="G341" s="4" t="n">
        <f aca="false">$G$17+$G$18</f>
        <v>0.2275</v>
      </c>
      <c r="H341" s="4" t="n">
        <f aca="false">$H$17+$H$18</f>
        <v>0.1975</v>
      </c>
      <c r="I341" s="4" t="n">
        <f aca="false">$I$17+$I$18</f>
        <v>0.1575</v>
      </c>
      <c r="J341" s="4" t="n">
        <f aca="false">$J$17+$J$18</f>
        <v>0.1175</v>
      </c>
      <c r="K341" s="4" t="n">
        <f aca="false">$K$17+$K$18</f>
        <v>0.1175</v>
      </c>
      <c r="L341" s="4" t="n">
        <f aca="false">$L$17+$L$18</f>
        <v>0.1175</v>
      </c>
      <c r="M341" s="4" t="n">
        <f aca="false">$M$17+$M$18</f>
        <v>0.1175</v>
      </c>
      <c r="N341" s="4" t="n">
        <f aca="false">$N$17+$N$18</f>
        <v>0.1175</v>
      </c>
      <c r="O341" s="4" t="n">
        <f aca="false">$O$17+$O$18</f>
        <v>0.1575</v>
      </c>
      <c r="P341" s="4" t="n">
        <f aca="false">$P$17+$P$18</f>
        <v>0.2025</v>
      </c>
      <c r="Q341" s="4" t="n">
        <f aca="false">$Q$17+$Q$18</f>
        <v>0.2125</v>
      </c>
      <c r="R341" s="4" t="n">
        <f aca="false">$R$17+$R$18</f>
        <v>0.2325</v>
      </c>
      <c r="S341" s="4" t="n">
        <f aca="false">$S$17+$S$18</f>
        <v>0.2325</v>
      </c>
      <c r="T341" s="4" t="n">
        <f aca="false">$T$17+$T$18</f>
        <v>0.2025</v>
      </c>
    </row>
    <row r="342" customFormat="false" ht="12.75" hidden="false" customHeight="false" outlineLevel="0" collapsed="false">
      <c r="D342" s="0" t="s">
        <v>18</v>
      </c>
      <c r="F342" s="4" t="n">
        <f aca="false">$F$17+$F$18</f>
        <v>0.2275</v>
      </c>
      <c r="G342" s="4" t="n">
        <f aca="false">$G$17+$G$18</f>
        <v>0.2275</v>
      </c>
      <c r="H342" s="4" t="n">
        <f aca="false">$H$17+$H$18</f>
        <v>0.1975</v>
      </c>
      <c r="I342" s="4" t="n">
        <f aca="false">$I$17+$I$18</f>
        <v>0.1575</v>
      </c>
      <c r="J342" s="4" t="n">
        <f aca="false">$J$17+$J$18</f>
        <v>0.1175</v>
      </c>
      <c r="K342" s="4" t="n">
        <f aca="false">$K$17+$K$18</f>
        <v>0.1175</v>
      </c>
      <c r="L342" s="4" t="n">
        <f aca="false">$L$17+$L$18</f>
        <v>0.1175</v>
      </c>
      <c r="M342" s="4" t="n">
        <f aca="false">$M$17+$M$18</f>
        <v>0.1175</v>
      </c>
      <c r="N342" s="4" t="n">
        <f aca="false">$N$17+$N$18</f>
        <v>0.1175</v>
      </c>
      <c r="O342" s="4" t="n">
        <f aca="false">$O$17+$O$18</f>
        <v>0.1575</v>
      </c>
      <c r="P342" s="4" t="n">
        <f aca="false">$P$17+$P$18</f>
        <v>0.2025</v>
      </c>
      <c r="Q342" s="4" t="n">
        <f aca="false">$Q$17+$Q$18</f>
        <v>0.2125</v>
      </c>
      <c r="R342" s="4" t="n">
        <f aca="false">$R$17+$R$18</f>
        <v>0.2325</v>
      </c>
      <c r="S342" s="4" t="n">
        <f aca="false">$S$17+$S$18</f>
        <v>0.2325</v>
      </c>
      <c r="T342" s="4" t="n">
        <f aca="false">$T$17+$T$18</f>
        <v>0.2025</v>
      </c>
    </row>
    <row r="343" customFormat="false" ht="12.75" hidden="false" customHeight="false" outlineLevel="0" collapsed="false"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customFormat="false" ht="12.75" hidden="false" customHeight="false" outlineLevel="0" collapsed="false">
      <c r="C344" s="0" t="s">
        <v>19</v>
      </c>
      <c r="F344" s="6" t="n">
        <v>0</v>
      </c>
      <c r="G344" s="6" t="n">
        <v>0</v>
      </c>
      <c r="H344" s="6" t="n">
        <v>0</v>
      </c>
      <c r="I344" s="6" t="n">
        <v>0</v>
      </c>
      <c r="J344" s="6" t="n">
        <v>0</v>
      </c>
      <c r="K344" s="6" t="n">
        <v>0</v>
      </c>
      <c r="L344" s="6" t="n">
        <v>0</v>
      </c>
      <c r="M344" s="6" t="n">
        <v>0</v>
      </c>
      <c r="N344" s="6" t="n">
        <v>0</v>
      </c>
      <c r="O344" s="6" t="n">
        <v>0</v>
      </c>
      <c r="P344" s="6" t="n">
        <v>0</v>
      </c>
      <c r="Q344" s="6" t="n">
        <v>0</v>
      </c>
      <c r="R344" s="6" t="n">
        <v>0</v>
      </c>
      <c r="S344" s="6" t="n">
        <v>0</v>
      </c>
      <c r="T344" s="6" t="n">
        <v>0</v>
      </c>
    </row>
    <row r="345" customFormat="false" ht="12.75" hidden="false" customHeight="false" outlineLevel="0" collapsed="false">
      <c r="C345" s="0" t="s">
        <v>20</v>
      </c>
      <c r="F345" s="6" t="n">
        <v>0</v>
      </c>
      <c r="G345" s="6" t="n">
        <v>0</v>
      </c>
      <c r="H345" s="6" t="n">
        <v>0</v>
      </c>
      <c r="I345" s="6" t="n">
        <v>0</v>
      </c>
      <c r="J345" s="6" t="n">
        <v>0</v>
      </c>
      <c r="K345" s="6" t="n">
        <v>0</v>
      </c>
      <c r="L345" s="6" t="n">
        <v>0</v>
      </c>
      <c r="M345" s="6" t="n">
        <v>0</v>
      </c>
      <c r="N345" s="6" t="n">
        <v>0</v>
      </c>
      <c r="O345" s="6" t="n">
        <v>0</v>
      </c>
      <c r="P345" s="6" t="n">
        <v>0</v>
      </c>
      <c r="Q345" s="6" t="n">
        <v>0</v>
      </c>
      <c r="R345" s="6" t="n">
        <v>0</v>
      </c>
      <c r="S345" s="6" t="n">
        <v>0</v>
      </c>
      <c r="T345" s="6" t="n">
        <v>0</v>
      </c>
    </row>
    <row r="346" customFormat="false" ht="12.75" hidden="false" customHeight="false" outlineLevel="0" collapsed="false">
      <c r="C346" s="0" t="s">
        <v>21</v>
      </c>
      <c r="F346" s="6" t="n">
        <v>0</v>
      </c>
      <c r="G346" s="6" t="n">
        <v>0</v>
      </c>
      <c r="H346" s="6" t="n">
        <v>0</v>
      </c>
      <c r="I346" s="6" t="n">
        <v>0</v>
      </c>
      <c r="J346" s="6" t="n">
        <v>0</v>
      </c>
      <c r="K346" s="6" t="n">
        <v>0</v>
      </c>
      <c r="L346" s="6" t="n">
        <v>0</v>
      </c>
      <c r="M346" s="6" t="n">
        <v>0</v>
      </c>
      <c r="N346" s="6" t="n">
        <v>0</v>
      </c>
      <c r="O346" s="6" t="n">
        <v>0</v>
      </c>
      <c r="P346" s="6" t="n">
        <v>0</v>
      </c>
      <c r="Q346" s="6" t="n">
        <v>0</v>
      </c>
      <c r="R346" s="6" t="n">
        <v>0</v>
      </c>
      <c r="S346" s="6" t="n">
        <v>0</v>
      </c>
      <c r="T346" s="6" t="n">
        <v>0</v>
      </c>
    </row>
    <row r="347" customFormat="false" ht="12.75" hidden="false" customHeight="false" outlineLevel="0" collapsed="false">
      <c r="C347" s="0" t="s">
        <v>20</v>
      </c>
      <c r="F347" s="6" t="n">
        <v>211</v>
      </c>
      <c r="G347" s="6" t="n">
        <v>210</v>
      </c>
      <c r="H347" s="6" t="n">
        <v>209</v>
      </c>
      <c r="I347" s="6" t="n">
        <v>185</v>
      </c>
      <c r="J347" s="6" t="n">
        <v>185</v>
      </c>
      <c r="K347" s="6" t="n">
        <v>98</v>
      </c>
      <c r="L347" s="6" t="n">
        <v>97</v>
      </c>
      <c r="M347" s="6" t="n">
        <v>89</v>
      </c>
      <c r="N347" s="6" t="n">
        <v>66</v>
      </c>
      <c r="O347" s="6" t="n">
        <v>64</v>
      </c>
      <c r="P347" s="6" t="n">
        <v>0</v>
      </c>
      <c r="Q347" s="6" t="n">
        <v>0</v>
      </c>
      <c r="R347" s="6" t="n">
        <v>0</v>
      </c>
      <c r="S347" s="6" t="n">
        <v>0</v>
      </c>
      <c r="T347" s="6" t="n">
        <v>0</v>
      </c>
    </row>
    <row r="348" customFormat="false" ht="12.75" hidden="false" customHeight="false" outlineLevel="0" collapsed="false">
      <c r="C348" s="0" t="s">
        <v>22</v>
      </c>
      <c r="F348" s="4" t="s">
        <v>85</v>
      </c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 customFormat="false" ht="12.75" hidden="false" customHeight="false" outlineLevel="0" collapsed="false"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 customFormat="false" ht="12.75" hidden="false" customHeight="false" outlineLevel="0" collapsed="false">
      <c r="B350" s="1" t="s">
        <v>81</v>
      </c>
      <c r="C350" s="1" t="s">
        <v>86</v>
      </c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customFormat="false" ht="12.75" hidden="false" customHeight="false" outlineLevel="0" collapsed="false">
      <c r="D351" s="0" t="s">
        <v>17</v>
      </c>
      <c r="F351" s="4" t="n">
        <f aca="false">$F$17+$F$18</f>
        <v>0.2275</v>
      </c>
      <c r="G351" s="4" t="n">
        <f aca="false">$G$17+$G$18</f>
        <v>0.2275</v>
      </c>
      <c r="H351" s="4" t="n">
        <f aca="false">$H$17+$H$18</f>
        <v>0.1975</v>
      </c>
      <c r="I351" s="4" t="n">
        <f aca="false">$I$17+$I$18</f>
        <v>0.1575</v>
      </c>
      <c r="J351" s="4" t="n">
        <f aca="false">$J$17+$J$18</f>
        <v>0.1175</v>
      </c>
      <c r="K351" s="4" t="n">
        <f aca="false">$K$17+$K$18</f>
        <v>0.1175</v>
      </c>
      <c r="L351" s="4" t="n">
        <f aca="false">$L$17+$L$18</f>
        <v>0.1175</v>
      </c>
      <c r="M351" s="4" t="n">
        <f aca="false">$M$17+$M$18</f>
        <v>0.1175</v>
      </c>
      <c r="N351" s="4" t="n">
        <f aca="false">$N$17+$N$18</f>
        <v>0.1175</v>
      </c>
      <c r="O351" s="4" t="n">
        <f aca="false">$O$17+$O$18</f>
        <v>0.1575</v>
      </c>
      <c r="P351" s="4" t="n">
        <f aca="false">$P$17+$P$18</f>
        <v>0.2025</v>
      </c>
      <c r="Q351" s="4" t="n">
        <f aca="false">$Q$17+$Q$18</f>
        <v>0.2125</v>
      </c>
      <c r="R351" s="4" t="n">
        <f aca="false">$R$17+$R$18</f>
        <v>0.2325</v>
      </c>
      <c r="S351" s="4" t="n">
        <f aca="false">$S$17+$S$18</f>
        <v>0.2325</v>
      </c>
      <c r="T351" s="4" t="n">
        <f aca="false">$T$17+$T$18</f>
        <v>0.2025</v>
      </c>
    </row>
    <row r="352" customFormat="false" ht="12.75" hidden="false" customHeight="false" outlineLevel="0" collapsed="false">
      <c r="D352" s="0" t="s">
        <v>18</v>
      </c>
      <c r="F352" s="4" t="n">
        <f aca="false">$F$17+$F$18</f>
        <v>0.2275</v>
      </c>
      <c r="G352" s="4" t="n">
        <f aca="false">$G$17+$G$18</f>
        <v>0.2275</v>
      </c>
      <c r="H352" s="4" t="n">
        <f aca="false">$H$17+$H$18</f>
        <v>0.1975</v>
      </c>
      <c r="I352" s="4" t="n">
        <f aca="false">$I$17+$I$18</f>
        <v>0.1575</v>
      </c>
      <c r="J352" s="4" t="n">
        <f aca="false">$J$17+$J$18</f>
        <v>0.1175</v>
      </c>
      <c r="K352" s="4" t="n">
        <f aca="false">$K$17+$K$18</f>
        <v>0.1175</v>
      </c>
      <c r="L352" s="4" t="n">
        <f aca="false">$L$17+$L$18</f>
        <v>0.1175</v>
      </c>
      <c r="M352" s="4" t="n">
        <f aca="false">$M$17+$M$18</f>
        <v>0.1175</v>
      </c>
      <c r="N352" s="4" t="n">
        <f aca="false">$N$17+$N$18</f>
        <v>0.1175</v>
      </c>
      <c r="O352" s="4" t="n">
        <f aca="false">$O$17+$O$18</f>
        <v>0.1575</v>
      </c>
      <c r="P352" s="4" t="n">
        <f aca="false">$P$17+$P$18</f>
        <v>0.2025</v>
      </c>
      <c r="Q352" s="4" t="n">
        <f aca="false">$Q$17+$Q$18</f>
        <v>0.2125</v>
      </c>
      <c r="R352" s="4" t="n">
        <f aca="false">$R$17+$R$18</f>
        <v>0.2325</v>
      </c>
      <c r="S352" s="4" t="n">
        <f aca="false">$S$17+$S$18</f>
        <v>0.2325</v>
      </c>
      <c r="T352" s="4" t="n">
        <f aca="false">$T$17+$T$18</f>
        <v>0.2025</v>
      </c>
    </row>
    <row r="353" customFormat="false" ht="12.75" hidden="false" customHeight="false" outlineLevel="0" collapsed="false"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 customFormat="false" ht="12.75" hidden="true" customHeight="false" outlineLevel="0" collapsed="false">
      <c r="C354" s="0" t="s">
        <v>19</v>
      </c>
      <c r="F354" s="7" t="n">
        <v>3441</v>
      </c>
      <c r="G354" s="7" t="n">
        <v>3569</v>
      </c>
      <c r="H354" s="7" t="n">
        <v>2821</v>
      </c>
      <c r="I354" s="7" t="n">
        <v>3930</v>
      </c>
      <c r="J354" s="7" t="n">
        <v>3224</v>
      </c>
      <c r="K354" s="7" t="n">
        <v>1950</v>
      </c>
      <c r="L354" s="7" t="n">
        <v>1457</v>
      </c>
      <c r="M354" s="7" t="n">
        <v>1457</v>
      </c>
      <c r="N354" s="7" t="n">
        <v>1680</v>
      </c>
      <c r="O354" s="7" t="n">
        <v>2511</v>
      </c>
      <c r="P354" s="7" t="n">
        <v>3810</v>
      </c>
      <c r="Q354" s="7" t="n">
        <v>3441</v>
      </c>
      <c r="R354" s="7" t="n">
        <v>3069</v>
      </c>
      <c r="S354" s="7" t="n">
        <v>3612</v>
      </c>
      <c r="T354" s="7" t="n">
        <v>2759</v>
      </c>
    </row>
    <row r="355" customFormat="false" ht="12.75" hidden="false" customHeight="false" outlineLevel="0" collapsed="false">
      <c r="A355" s="8"/>
      <c r="B355" s="8"/>
      <c r="C355" s="0" t="s">
        <v>19</v>
      </c>
      <c r="D355" s="8"/>
      <c r="E355" s="8"/>
      <c r="F355" s="9" t="n">
        <f aca="false">F354/31</f>
        <v>111</v>
      </c>
      <c r="G355" s="9" t="n">
        <f aca="false">G354/29</f>
        <v>123.068965517241</v>
      </c>
      <c r="H355" s="9" t="n">
        <f aca="false">H354/31</f>
        <v>91</v>
      </c>
      <c r="I355" s="9" t="n">
        <f aca="false">I354/30</f>
        <v>131</v>
      </c>
      <c r="J355" s="9" t="n">
        <f aca="false">J354/31</f>
        <v>104</v>
      </c>
      <c r="K355" s="9" t="n">
        <f aca="false">K354/30</f>
        <v>65</v>
      </c>
      <c r="L355" s="9" t="n">
        <f aca="false">L354/31</f>
        <v>47</v>
      </c>
      <c r="M355" s="9" t="n">
        <f aca="false">M354/31</f>
        <v>47</v>
      </c>
      <c r="N355" s="9" t="n">
        <f aca="false">N354/30</f>
        <v>56</v>
      </c>
      <c r="O355" s="9" t="n">
        <f aca="false">O354/31</f>
        <v>81</v>
      </c>
      <c r="P355" s="9" t="n">
        <f aca="false">P354/30</f>
        <v>127</v>
      </c>
      <c r="Q355" s="9" t="n">
        <f aca="false">Q354/31</f>
        <v>111</v>
      </c>
      <c r="R355" s="9" t="n">
        <f aca="false">R354/31</f>
        <v>99</v>
      </c>
      <c r="S355" s="9" t="n">
        <f aca="false">S354/28</f>
        <v>129</v>
      </c>
      <c r="T355" s="9" t="n">
        <f aca="false">T354/31</f>
        <v>89</v>
      </c>
    </row>
    <row r="356" customFormat="false" ht="12.75" hidden="false" customHeight="false" outlineLevel="0" collapsed="false">
      <c r="C356" s="0" t="s">
        <v>20</v>
      </c>
      <c r="F356" s="6" t="n">
        <v>0</v>
      </c>
      <c r="G356" s="6" t="n">
        <v>0</v>
      </c>
      <c r="H356" s="6" t="n">
        <v>0</v>
      </c>
      <c r="I356" s="6" t="n">
        <v>0</v>
      </c>
      <c r="J356" s="6" t="n">
        <v>0</v>
      </c>
      <c r="K356" s="6" t="n">
        <v>0</v>
      </c>
      <c r="L356" s="6" t="n">
        <v>0</v>
      </c>
      <c r="M356" s="6" t="n">
        <v>0</v>
      </c>
      <c r="N356" s="6" t="n">
        <v>0</v>
      </c>
      <c r="O356" s="6" t="n">
        <v>0</v>
      </c>
      <c r="P356" s="6" t="n">
        <v>0</v>
      </c>
      <c r="Q356" s="6" t="n">
        <v>0</v>
      </c>
      <c r="R356" s="6" t="n">
        <v>0</v>
      </c>
      <c r="S356" s="6" t="n">
        <v>0</v>
      </c>
      <c r="T356" s="6" t="n">
        <v>0</v>
      </c>
    </row>
    <row r="357" customFormat="false" ht="12.75" hidden="false" customHeight="false" outlineLevel="0" collapsed="false">
      <c r="C357" s="0" t="s">
        <v>21</v>
      </c>
      <c r="F357" s="6" t="n">
        <v>0</v>
      </c>
      <c r="G357" s="6" t="n">
        <v>0</v>
      </c>
      <c r="H357" s="6" t="n">
        <v>0</v>
      </c>
      <c r="I357" s="6" t="n">
        <v>0</v>
      </c>
      <c r="J357" s="6" t="n">
        <v>0</v>
      </c>
      <c r="K357" s="6" t="n">
        <v>0</v>
      </c>
      <c r="L357" s="6" t="n">
        <v>0</v>
      </c>
      <c r="M357" s="6" t="n">
        <v>0</v>
      </c>
      <c r="N357" s="6" t="n">
        <v>0</v>
      </c>
      <c r="O357" s="6" t="n">
        <v>0</v>
      </c>
      <c r="P357" s="6" t="n">
        <v>0</v>
      </c>
      <c r="Q357" s="6" t="n">
        <v>0</v>
      </c>
      <c r="R357" s="6" t="n">
        <v>0</v>
      </c>
      <c r="S357" s="6" t="n">
        <v>0</v>
      </c>
      <c r="T357" s="6" t="n">
        <v>0</v>
      </c>
    </row>
    <row r="358" customFormat="false" ht="12.75" hidden="false" customHeight="false" outlineLevel="0" collapsed="false">
      <c r="C358" s="0" t="s">
        <v>20</v>
      </c>
      <c r="F358" s="6" t="n">
        <v>43</v>
      </c>
      <c r="G358" s="6" t="n">
        <v>43</v>
      </c>
      <c r="H358" s="6" t="n">
        <v>43</v>
      </c>
      <c r="I358" s="6" t="n">
        <v>38</v>
      </c>
      <c r="J358" s="6" t="n">
        <v>38</v>
      </c>
      <c r="K358" s="6" t="n">
        <v>20</v>
      </c>
      <c r="L358" s="6" t="n">
        <v>20</v>
      </c>
      <c r="M358" s="6" t="n">
        <v>18</v>
      </c>
      <c r="N358" s="6" t="n">
        <v>14</v>
      </c>
      <c r="O358" s="6" t="n">
        <v>14</v>
      </c>
      <c r="P358" s="6" t="n">
        <v>0</v>
      </c>
      <c r="Q358" s="6" t="n">
        <v>0</v>
      </c>
      <c r="R358" s="6" t="n">
        <v>0</v>
      </c>
      <c r="S358" s="6" t="n">
        <v>0</v>
      </c>
      <c r="T358" s="6" t="n">
        <v>0</v>
      </c>
    </row>
    <row r="359" customFormat="false" ht="12.75" hidden="false" customHeight="false" outlineLevel="0" collapsed="false">
      <c r="C359" s="0" t="s">
        <v>22</v>
      </c>
      <c r="F359" s="4" t="s">
        <v>85</v>
      </c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</row>
    <row r="360" customFormat="false" ht="12.75" hidden="false" customHeight="false" outlineLevel="0" collapsed="false"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 customFormat="false" ht="12.75" hidden="false" customHeight="false" outlineLevel="0" collapsed="false">
      <c r="B361" s="1" t="s">
        <v>81</v>
      </c>
      <c r="C361" s="1" t="s">
        <v>87</v>
      </c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 customFormat="false" ht="12.75" hidden="false" customHeight="false" outlineLevel="0" collapsed="false">
      <c r="D362" s="0" t="s">
        <v>17</v>
      </c>
      <c r="F362" s="4" t="n">
        <f aca="false">$F$17+$F$18</f>
        <v>0.2275</v>
      </c>
      <c r="G362" s="4" t="n">
        <f aca="false">$G$17+$G$18</f>
        <v>0.2275</v>
      </c>
      <c r="H362" s="4" t="n">
        <f aca="false">$H$17+$H$18</f>
        <v>0.1975</v>
      </c>
      <c r="I362" s="4" t="n">
        <f aca="false">$I$17+$I$18</f>
        <v>0.1575</v>
      </c>
      <c r="J362" s="4" t="n">
        <f aca="false">$J$17+$J$18</f>
        <v>0.1175</v>
      </c>
      <c r="K362" s="4" t="n">
        <f aca="false">$K$17+$K$18</f>
        <v>0.1175</v>
      </c>
      <c r="L362" s="4" t="n">
        <f aca="false">$L$17+$L$18</f>
        <v>0.1175</v>
      </c>
      <c r="M362" s="4" t="n">
        <f aca="false">$M$17+$M$18</f>
        <v>0.1175</v>
      </c>
      <c r="N362" s="4" t="n">
        <f aca="false">$N$17+$N$18</f>
        <v>0.1175</v>
      </c>
      <c r="O362" s="4" t="n">
        <f aca="false">$O$17+$O$18</f>
        <v>0.1575</v>
      </c>
      <c r="P362" s="4" t="n">
        <f aca="false">$P$17+$P$18</f>
        <v>0.2025</v>
      </c>
      <c r="Q362" s="4" t="n">
        <f aca="false">$Q$17+$Q$18</f>
        <v>0.2125</v>
      </c>
      <c r="R362" s="4" t="n">
        <f aca="false">$R$17+$R$18</f>
        <v>0.2325</v>
      </c>
      <c r="S362" s="4" t="n">
        <f aca="false">$S$17+$S$18</f>
        <v>0.2325</v>
      </c>
      <c r="T362" s="4" t="n">
        <f aca="false">$T$17+$T$18</f>
        <v>0.2025</v>
      </c>
    </row>
    <row r="363" customFormat="false" ht="12.75" hidden="false" customHeight="false" outlineLevel="0" collapsed="false">
      <c r="D363" s="0" t="s">
        <v>18</v>
      </c>
      <c r="F363" s="4" t="n">
        <f aca="false">$F$17+$F$18</f>
        <v>0.2275</v>
      </c>
      <c r="G363" s="4" t="n">
        <f aca="false">$G$17+$G$18</f>
        <v>0.2275</v>
      </c>
      <c r="H363" s="4" t="n">
        <f aca="false">$H$17+$H$18</f>
        <v>0.1975</v>
      </c>
      <c r="I363" s="4" t="n">
        <f aca="false">$I$17+$I$18</f>
        <v>0.1575</v>
      </c>
      <c r="J363" s="4" t="n">
        <f aca="false">$J$17+$J$18</f>
        <v>0.1175</v>
      </c>
      <c r="K363" s="4" t="n">
        <f aca="false">$K$17+$K$18</f>
        <v>0.1175</v>
      </c>
      <c r="L363" s="4" t="n">
        <f aca="false">$L$17+$L$18</f>
        <v>0.1175</v>
      </c>
      <c r="M363" s="4" t="n">
        <f aca="false">$M$17+$M$18</f>
        <v>0.1175</v>
      </c>
      <c r="N363" s="4" t="n">
        <f aca="false">$N$17+$N$18</f>
        <v>0.1175</v>
      </c>
      <c r="O363" s="4" t="n">
        <f aca="false">$O$17+$O$18</f>
        <v>0.1575</v>
      </c>
      <c r="P363" s="4" t="n">
        <f aca="false">$P$17+$P$18</f>
        <v>0.2025</v>
      </c>
      <c r="Q363" s="4" t="n">
        <f aca="false">$Q$17+$Q$18</f>
        <v>0.2125</v>
      </c>
      <c r="R363" s="4" t="n">
        <f aca="false">$R$17+$R$18</f>
        <v>0.2325</v>
      </c>
      <c r="S363" s="4" t="n">
        <f aca="false">$S$17+$S$18</f>
        <v>0.2325</v>
      </c>
      <c r="T363" s="4" t="n">
        <f aca="false">$T$17+$T$18</f>
        <v>0.2025</v>
      </c>
    </row>
    <row r="364" customFormat="false" ht="12.75" hidden="false" customHeight="false" outlineLevel="0" collapsed="false"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customFormat="false" ht="12.75" hidden="true" customHeight="false" outlineLevel="0" collapsed="false">
      <c r="C365" s="0" t="s">
        <v>19</v>
      </c>
      <c r="F365" s="10" t="n">
        <f aca="false">50848+223839+92121+18404</f>
        <v>385212</v>
      </c>
      <c r="G365" s="10" t="n">
        <f aca="false">42304+193190+84886+18607</f>
        <v>338987</v>
      </c>
      <c r="H365" s="10" t="n">
        <f aca="false">44722+137905+85558+18416</f>
        <v>286601</v>
      </c>
      <c r="I365" s="10" t="n">
        <f aca="false">59213+184797+18416</f>
        <v>262426</v>
      </c>
      <c r="J365" s="10" t="n">
        <f aca="false">60976+168780+17679</f>
        <v>247435</v>
      </c>
      <c r="K365" s="10" t="n">
        <f aca="false">59156+120668+17889</f>
        <v>197713</v>
      </c>
      <c r="L365" s="10" t="n">
        <f aca="false">61209+100945+16837</f>
        <v>178991</v>
      </c>
      <c r="M365" s="10" t="n">
        <f aca="false">60769+73364+13158</f>
        <v>147291</v>
      </c>
      <c r="N365" s="10" t="n">
        <f aca="false">46108+63425</f>
        <v>109533</v>
      </c>
      <c r="O365" s="10" t="n">
        <f aca="false">3498+63425</f>
        <v>66923</v>
      </c>
      <c r="P365" s="10" t="n">
        <f aca="false">1535+55711</f>
        <v>57246</v>
      </c>
      <c r="Q365" s="10" t="n">
        <f aca="false">2+3472</f>
        <v>3474</v>
      </c>
      <c r="R365" s="10" t="n">
        <f aca="false">24+4350</f>
        <v>4374</v>
      </c>
      <c r="S365" s="10" t="n">
        <v>4613</v>
      </c>
      <c r="T365" s="10" t="n">
        <v>3171</v>
      </c>
      <c r="U365" s="6"/>
      <c r="V365" s="6"/>
      <c r="W365" s="6"/>
      <c r="X365" s="6"/>
      <c r="Y365" s="6"/>
      <c r="Z365" s="6"/>
      <c r="AA365" s="6"/>
    </row>
    <row r="366" customFormat="false" ht="12.75" hidden="false" customHeight="false" outlineLevel="0" collapsed="false">
      <c r="A366" s="8"/>
      <c r="B366" s="8"/>
      <c r="C366" s="0" t="s">
        <v>19</v>
      </c>
      <c r="D366" s="8"/>
      <c r="E366" s="8"/>
      <c r="F366" s="10" t="n">
        <f aca="false">F365/31</f>
        <v>12426.1935483871</v>
      </c>
      <c r="G366" s="10" t="n">
        <f aca="false">G365/29</f>
        <v>11689.2068965517</v>
      </c>
      <c r="H366" s="10" t="n">
        <f aca="false">H365/31</f>
        <v>9245.1935483871</v>
      </c>
      <c r="I366" s="10" t="n">
        <f aca="false">I365/30</f>
        <v>8747.53333333333</v>
      </c>
      <c r="J366" s="10" t="n">
        <f aca="false">J365/31</f>
        <v>7981.77419354839</v>
      </c>
      <c r="K366" s="10" t="n">
        <f aca="false">K365/30</f>
        <v>6590.43333333333</v>
      </c>
      <c r="L366" s="10" t="n">
        <f aca="false">L365/31</f>
        <v>5773.90322580645</v>
      </c>
      <c r="M366" s="10" t="n">
        <f aca="false">M365/31</f>
        <v>4751.32258064516</v>
      </c>
      <c r="N366" s="10" t="n">
        <f aca="false">N365/30</f>
        <v>3651.1</v>
      </c>
      <c r="O366" s="10" t="n">
        <f aca="false">O365/31</f>
        <v>2158.8064516129</v>
      </c>
      <c r="P366" s="10" t="n">
        <f aca="false">P365/30</f>
        <v>1908.2</v>
      </c>
      <c r="Q366" s="10" t="n">
        <f aca="false">Q365/31</f>
        <v>112.064516129032</v>
      </c>
      <c r="R366" s="10" t="n">
        <f aca="false">R365/31</f>
        <v>141.096774193548</v>
      </c>
      <c r="S366" s="10" t="n">
        <f aca="false">S365/28</f>
        <v>164.75</v>
      </c>
      <c r="T366" s="10" t="n">
        <f aca="false">T365/31</f>
        <v>102.290322580645</v>
      </c>
      <c r="U366" s="6"/>
      <c r="V366" s="6"/>
      <c r="W366" s="6"/>
      <c r="X366" s="6"/>
      <c r="Y366" s="6"/>
      <c r="Z366" s="6"/>
      <c r="AA366" s="6"/>
    </row>
    <row r="367" customFormat="false" ht="12.75" hidden="false" customHeight="false" outlineLevel="0" collapsed="false">
      <c r="C367" s="0" t="s">
        <v>20</v>
      </c>
      <c r="F367" s="6" t="n">
        <v>0</v>
      </c>
      <c r="G367" s="6" t="n">
        <v>0</v>
      </c>
      <c r="H367" s="6" t="n">
        <v>0</v>
      </c>
      <c r="I367" s="6" t="n">
        <v>0</v>
      </c>
      <c r="J367" s="6" t="n">
        <v>0</v>
      </c>
      <c r="K367" s="6" t="n">
        <v>0</v>
      </c>
      <c r="L367" s="6" t="n">
        <v>0</v>
      </c>
      <c r="M367" s="6" t="n">
        <v>0</v>
      </c>
      <c r="N367" s="6" t="n">
        <v>0</v>
      </c>
      <c r="O367" s="6" t="n">
        <v>0</v>
      </c>
      <c r="P367" s="6" t="n">
        <v>0</v>
      </c>
      <c r="Q367" s="6" t="n">
        <v>0</v>
      </c>
      <c r="R367" s="6" t="n">
        <v>0</v>
      </c>
      <c r="S367" s="6" t="n">
        <v>0</v>
      </c>
      <c r="T367" s="6" t="n">
        <v>0</v>
      </c>
      <c r="U367" s="6"/>
      <c r="V367" s="6"/>
      <c r="W367" s="6"/>
      <c r="X367" s="6"/>
      <c r="Y367" s="6"/>
      <c r="Z367" s="6"/>
      <c r="AA367" s="6"/>
    </row>
    <row r="368" customFormat="false" ht="12.75" hidden="true" customHeight="false" outlineLevel="0" collapsed="false">
      <c r="C368" s="0" t="s">
        <v>21</v>
      </c>
      <c r="F368" s="10" t="n">
        <f aca="false">85465+25133+259314+4376+1872</f>
        <v>376160</v>
      </c>
      <c r="G368" s="10" t="n">
        <f aca="false">74765+22737+233904+4375+1864</f>
        <v>337645</v>
      </c>
      <c r="H368" s="10" t="n">
        <f aca="false">58264+23401+258202+4375+1856</f>
        <v>346098</v>
      </c>
      <c r="I368" s="10" t="n">
        <f aca="false">35827+22443+249643+4374+1849</f>
        <v>314136</v>
      </c>
      <c r="J368" s="10" t="n">
        <f aca="false">17759+22702+254347+4374+1841</f>
        <v>301023</v>
      </c>
      <c r="K368" s="10" t="n">
        <f aca="false">8841+21932+244765+136+1833</f>
        <v>277507</v>
      </c>
      <c r="L368" s="10" t="n">
        <f aca="false">8296+22602+252450+135+1825</f>
        <v>285308</v>
      </c>
      <c r="M368" s="10" t="n">
        <f aca="false">8368+22481+251181+135+1817</f>
        <v>283982</v>
      </c>
      <c r="N368" s="10" t="n">
        <f aca="false">10582+21229+241965+135+1809</f>
        <v>275720</v>
      </c>
      <c r="O368" s="10" t="n">
        <f aca="false">17506+21757+248653+134+1802</f>
        <v>289852</v>
      </c>
      <c r="P368" s="10" t="n">
        <f aca="false">19291+21019+239539+133</f>
        <v>279982</v>
      </c>
      <c r="Q368" s="10" t="n">
        <f aca="false">25997+21662+193451+133</f>
        <v>241243</v>
      </c>
      <c r="R368" s="10" t="n">
        <f aca="false">12008+19671+191568</f>
        <v>223247</v>
      </c>
      <c r="S368" s="10" t="n">
        <f aca="false">5332+16671+172192</f>
        <v>194195</v>
      </c>
      <c r="T368" s="10" t="n">
        <f aca="false">2389+17917+131976</f>
        <v>152282</v>
      </c>
      <c r="U368" s="6"/>
      <c r="V368" s="6"/>
      <c r="W368" s="6"/>
      <c r="X368" s="6"/>
      <c r="Y368" s="6"/>
      <c r="Z368" s="6"/>
      <c r="AA368" s="6"/>
    </row>
    <row r="369" customFormat="false" ht="12.75" hidden="false" customHeight="false" outlineLevel="0" collapsed="false">
      <c r="A369" s="8"/>
      <c r="B369" s="8"/>
      <c r="C369" s="0" t="s">
        <v>21</v>
      </c>
      <c r="D369" s="8"/>
      <c r="E369" s="8"/>
      <c r="F369" s="10" t="n">
        <f aca="false">F368/31</f>
        <v>12134.1935483871</v>
      </c>
      <c r="G369" s="10" t="n">
        <v>11992</v>
      </c>
      <c r="H369" s="10" t="n">
        <f aca="false">H368/31</f>
        <v>11164.4516129032</v>
      </c>
      <c r="I369" s="10" t="n">
        <f aca="false">I368/30</f>
        <v>10471.2</v>
      </c>
      <c r="J369" s="10" t="n">
        <f aca="false">J368/31</f>
        <v>9710.41935483871</v>
      </c>
      <c r="K369" s="10" t="n">
        <f aca="false">K368/30</f>
        <v>9250.23333333333</v>
      </c>
      <c r="L369" s="10" t="n">
        <f aca="false">L368/31</f>
        <v>9203.48387096774</v>
      </c>
      <c r="M369" s="10" t="n">
        <f aca="false">M368/31</f>
        <v>9160.70967741935</v>
      </c>
      <c r="N369" s="10" t="n">
        <f aca="false">N368/30</f>
        <v>9190.66666666667</v>
      </c>
      <c r="O369" s="10" t="n">
        <f aca="false">O368/31</f>
        <v>9350.06451612903</v>
      </c>
      <c r="P369" s="10" t="n">
        <f aca="false">P368/30</f>
        <v>9332.73333333333</v>
      </c>
      <c r="Q369" s="10" t="n">
        <f aca="false">Q368/31</f>
        <v>7782.03225806452</v>
      </c>
      <c r="R369" s="10" t="n">
        <f aca="false">R368/31</f>
        <v>7201.51612903226</v>
      </c>
      <c r="S369" s="10" t="n">
        <f aca="false">S368/28</f>
        <v>6935.53571428572</v>
      </c>
      <c r="T369" s="10" t="n">
        <f aca="false">T368/31</f>
        <v>4912.32258064516</v>
      </c>
      <c r="U369" s="6"/>
      <c r="V369" s="6"/>
      <c r="W369" s="6"/>
      <c r="X369" s="6"/>
      <c r="Y369" s="6"/>
      <c r="Z369" s="6"/>
      <c r="AA369" s="6"/>
    </row>
    <row r="370" customFormat="false" ht="12.75" hidden="false" customHeight="false" outlineLevel="0" collapsed="false">
      <c r="C370" s="0" t="s">
        <v>20</v>
      </c>
      <c r="F370" s="10" t="n">
        <f aca="false">11618+4118</f>
        <v>15736</v>
      </c>
      <c r="G370" s="10" t="n">
        <f aca="false">11618+4118</f>
        <v>15736</v>
      </c>
      <c r="H370" s="10" t="n">
        <f aca="false">11618+4118</f>
        <v>15736</v>
      </c>
      <c r="I370" s="10" t="n">
        <v>11618</v>
      </c>
      <c r="J370" s="10" t="n">
        <v>11618</v>
      </c>
      <c r="K370" s="10" t="n">
        <v>11618</v>
      </c>
      <c r="L370" s="10" t="n">
        <v>11618</v>
      </c>
      <c r="M370" s="10" t="n">
        <v>11618</v>
      </c>
      <c r="N370" s="10" t="n">
        <v>11618</v>
      </c>
      <c r="O370" s="10" t="n">
        <v>11618</v>
      </c>
      <c r="P370" s="10" t="n">
        <v>0</v>
      </c>
      <c r="Q370" s="10" t="n">
        <v>0</v>
      </c>
      <c r="R370" s="10" t="n">
        <v>0</v>
      </c>
      <c r="S370" s="10" t="n">
        <v>0</v>
      </c>
      <c r="T370" s="10" t="n">
        <v>0</v>
      </c>
      <c r="U370" s="6"/>
      <c r="V370" s="6"/>
      <c r="W370" s="6"/>
      <c r="X370" s="6"/>
      <c r="Y370" s="6"/>
      <c r="Z370" s="6"/>
      <c r="AA370" s="6"/>
    </row>
    <row r="371" customFormat="false" ht="12.75" hidden="false" customHeight="false" outlineLevel="0" collapsed="false">
      <c r="C371" s="0" t="s">
        <v>22</v>
      </c>
      <c r="F371" s="4" t="s">
        <v>88</v>
      </c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 customFormat="false" ht="12.75" hidden="false" customHeight="false" outlineLevel="0" collapsed="false"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 customFormat="false" ht="12.75" hidden="false" customHeight="false" outlineLevel="0" collapsed="false">
      <c r="B373" s="1" t="s">
        <v>81</v>
      </c>
      <c r="C373" s="1" t="s">
        <v>89</v>
      </c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 customFormat="false" ht="12.75" hidden="false" customHeight="false" outlineLevel="0" collapsed="false">
      <c r="D374" s="0" t="s">
        <v>17</v>
      </c>
      <c r="F374" s="4" t="n">
        <f aca="false">$F$17+$F$18</f>
        <v>0.2275</v>
      </c>
      <c r="G374" s="4" t="n">
        <f aca="false">$G$17+$G$18</f>
        <v>0.2275</v>
      </c>
      <c r="H374" s="4" t="n">
        <f aca="false">$H$17+$H$18</f>
        <v>0.1975</v>
      </c>
      <c r="I374" s="4" t="n">
        <f aca="false">$I$17+$I$18</f>
        <v>0.1575</v>
      </c>
      <c r="J374" s="4" t="n">
        <f aca="false">$J$17+$J$18</f>
        <v>0.1175</v>
      </c>
      <c r="K374" s="4" t="n">
        <f aca="false">$K$17+$K$18</f>
        <v>0.1175</v>
      </c>
      <c r="L374" s="4" t="n">
        <f aca="false">$L$17+$L$18</f>
        <v>0.1175</v>
      </c>
      <c r="M374" s="4" t="n">
        <f aca="false">$M$17+$M$18</f>
        <v>0.1175</v>
      </c>
      <c r="N374" s="4" t="n">
        <f aca="false">$N$17+$N$18</f>
        <v>0.1175</v>
      </c>
      <c r="O374" s="4" t="n">
        <f aca="false">$O$17+$O$18</f>
        <v>0.1575</v>
      </c>
      <c r="P374" s="4" t="n">
        <f aca="false">$P$17+$P$18</f>
        <v>0.2025</v>
      </c>
      <c r="Q374" s="4" t="n">
        <f aca="false">$Q$17+$Q$18</f>
        <v>0.2125</v>
      </c>
      <c r="R374" s="4" t="n">
        <f aca="false">$R$17+$R$18</f>
        <v>0.2325</v>
      </c>
      <c r="S374" s="4" t="n">
        <f aca="false">$S$17+$S$18</f>
        <v>0.2325</v>
      </c>
      <c r="T374" s="4" t="n">
        <f aca="false">$T$17+$T$18</f>
        <v>0.2025</v>
      </c>
    </row>
    <row r="375" customFormat="false" ht="12.75" hidden="false" customHeight="false" outlineLevel="0" collapsed="false">
      <c r="D375" s="0" t="s">
        <v>18</v>
      </c>
      <c r="F375" s="4" t="n">
        <f aca="false">$F$17+$F$18</f>
        <v>0.2275</v>
      </c>
      <c r="G375" s="4" t="n">
        <f aca="false">$G$17+$G$18</f>
        <v>0.2275</v>
      </c>
      <c r="H375" s="4" t="n">
        <f aca="false">$H$17+$H$18</f>
        <v>0.1975</v>
      </c>
      <c r="I375" s="4" t="n">
        <f aca="false">$I$17+$I$18</f>
        <v>0.1575</v>
      </c>
      <c r="J375" s="4" t="n">
        <f aca="false">$J$17+$J$18</f>
        <v>0.1175</v>
      </c>
      <c r="K375" s="4" t="n">
        <f aca="false">$K$17+$K$18</f>
        <v>0.1175</v>
      </c>
      <c r="L375" s="4" t="n">
        <f aca="false">$L$17+$L$18</f>
        <v>0.1175</v>
      </c>
      <c r="M375" s="4" t="n">
        <f aca="false">$M$17+$M$18</f>
        <v>0.1175</v>
      </c>
      <c r="N375" s="4" t="n">
        <f aca="false">$N$17+$N$18</f>
        <v>0.1175</v>
      </c>
      <c r="O375" s="4" t="n">
        <f aca="false">$O$17+$O$18</f>
        <v>0.1575</v>
      </c>
      <c r="P375" s="4" t="n">
        <f aca="false">$P$17+$P$18</f>
        <v>0.2025</v>
      </c>
      <c r="Q375" s="4" t="n">
        <f aca="false">$Q$17+$Q$18</f>
        <v>0.2125</v>
      </c>
      <c r="R375" s="4" t="n">
        <f aca="false">$R$17+$R$18</f>
        <v>0.2325</v>
      </c>
      <c r="S375" s="4" t="n">
        <f aca="false">$S$17+$S$18</f>
        <v>0.2325</v>
      </c>
      <c r="T375" s="4" t="n">
        <f aca="false">$T$17+$T$18</f>
        <v>0.2025</v>
      </c>
    </row>
    <row r="376" customFormat="false" ht="12.75" hidden="false" customHeight="false" outlineLevel="0" collapsed="false"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</row>
    <row r="377" customFormat="false" ht="12.75" hidden="true" customHeight="false" outlineLevel="0" collapsed="false">
      <c r="C377" s="0" t="s">
        <v>19</v>
      </c>
      <c r="F377" s="10" t="n">
        <f aca="false">74495+775</f>
        <v>75270</v>
      </c>
      <c r="G377" s="10" t="n">
        <f aca="false">56829+775</f>
        <v>57604</v>
      </c>
      <c r="H377" s="10" t="n">
        <f aca="false">51253+725</f>
        <v>51978</v>
      </c>
      <c r="I377" s="10" t="n">
        <f aca="false">37705+775</f>
        <v>38480</v>
      </c>
      <c r="J377" s="10" t="n">
        <f aca="false">3411+750</f>
        <v>4161</v>
      </c>
      <c r="K377" s="10" t="n">
        <f aca="false">14820+775</f>
        <v>15595</v>
      </c>
      <c r="L377" s="10" t="n">
        <f aca="false">5921+750</f>
        <v>6671</v>
      </c>
      <c r="M377" s="10" t="n">
        <f aca="false">5921+775</f>
        <v>6696</v>
      </c>
      <c r="N377" s="10" t="n">
        <v>2730</v>
      </c>
      <c r="O377" s="10" t="n">
        <v>2730</v>
      </c>
      <c r="P377" s="10" t="n">
        <v>3131</v>
      </c>
      <c r="Q377" s="10" t="n">
        <v>31</v>
      </c>
      <c r="R377" s="10" t="n">
        <v>31</v>
      </c>
      <c r="S377" s="10" t="n">
        <v>532</v>
      </c>
      <c r="T377" s="10" t="n">
        <v>583</v>
      </c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</row>
    <row r="378" customFormat="false" ht="12.75" hidden="false" customHeight="false" outlineLevel="0" collapsed="false">
      <c r="A378" s="8"/>
      <c r="B378" s="8"/>
      <c r="C378" s="0" t="s">
        <v>19</v>
      </c>
      <c r="D378" s="8"/>
      <c r="E378" s="8"/>
      <c r="F378" s="10" t="n">
        <f aca="false">F377/31</f>
        <v>2428.06451612903</v>
      </c>
      <c r="G378" s="10" t="n">
        <f aca="false">G377/29</f>
        <v>1986.34482758621</v>
      </c>
      <c r="H378" s="10" t="n">
        <f aca="false">H377/31</f>
        <v>1676.70967741935</v>
      </c>
      <c r="I378" s="10" t="n">
        <f aca="false">I377/30</f>
        <v>1282.66666666667</v>
      </c>
      <c r="J378" s="10" t="n">
        <f aca="false">J377/31</f>
        <v>134.225806451613</v>
      </c>
      <c r="K378" s="10" t="n">
        <f aca="false">K377/30</f>
        <v>519.833333333333</v>
      </c>
      <c r="L378" s="10" t="n">
        <f aca="false">L377/31</f>
        <v>215.193548387097</v>
      </c>
      <c r="M378" s="10" t="n">
        <f aca="false">M377/31</f>
        <v>216</v>
      </c>
      <c r="N378" s="10" t="n">
        <f aca="false">N377/30</f>
        <v>91</v>
      </c>
      <c r="O378" s="10" t="n">
        <f aca="false">O377/31</f>
        <v>88.0645161290323</v>
      </c>
      <c r="P378" s="10" t="n">
        <f aca="false">P377/30</f>
        <v>104.366666666667</v>
      </c>
      <c r="Q378" s="10" t="n">
        <f aca="false">Q377/31</f>
        <v>1</v>
      </c>
      <c r="R378" s="10" t="n">
        <f aca="false">R377/31</f>
        <v>1</v>
      </c>
      <c r="S378" s="10" t="n">
        <f aca="false">S377/28</f>
        <v>19</v>
      </c>
      <c r="T378" s="10" t="n">
        <f aca="false">T377/31</f>
        <v>18.8064516129032</v>
      </c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</row>
    <row r="379" customFormat="false" ht="12.75" hidden="false" customHeight="false" outlineLevel="0" collapsed="false">
      <c r="C379" s="0" t="s">
        <v>20</v>
      </c>
      <c r="F379" s="6" t="n">
        <v>0</v>
      </c>
      <c r="G379" s="6" t="n">
        <v>0</v>
      </c>
      <c r="H379" s="6" t="n">
        <v>0</v>
      </c>
      <c r="I379" s="6" t="n">
        <v>0</v>
      </c>
      <c r="J379" s="6" t="n">
        <v>0</v>
      </c>
      <c r="K379" s="6" t="n">
        <v>0</v>
      </c>
      <c r="L379" s="6" t="n">
        <v>0</v>
      </c>
      <c r="M379" s="6" t="n">
        <v>0</v>
      </c>
      <c r="N379" s="6" t="n">
        <v>0</v>
      </c>
      <c r="O379" s="6" t="n">
        <v>0</v>
      </c>
      <c r="P379" s="6" t="n">
        <v>0</v>
      </c>
      <c r="Q379" s="6" t="n">
        <v>0</v>
      </c>
      <c r="R379" s="6" t="n">
        <v>0</v>
      </c>
      <c r="S379" s="6" t="n">
        <v>0</v>
      </c>
      <c r="T379" s="6" t="n">
        <v>0</v>
      </c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</row>
    <row r="380" customFormat="false" ht="12.75" hidden="false" customHeight="false" outlineLevel="0" collapsed="false">
      <c r="C380" s="0" t="s">
        <v>21</v>
      </c>
      <c r="F380" s="6" t="n">
        <v>0</v>
      </c>
      <c r="G380" s="6" t="n">
        <v>0</v>
      </c>
      <c r="H380" s="6" t="n">
        <v>0</v>
      </c>
      <c r="I380" s="6" t="n">
        <v>0</v>
      </c>
      <c r="J380" s="6" t="n">
        <v>0</v>
      </c>
      <c r="K380" s="6" t="n">
        <v>0</v>
      </c>
      <c r="L380" s="6" t="n">
        <v>0</v>
      </c>
      <c r="M380" s="6" t="n">
        <v>0</v>
      </c>
      <c r="N380" s="6" t="n">
        <v>0</v>
      </c>
      <c r="O380" s="6" t="n">
        <v>0</v>
      </c>
      <c r="P380" s="6" t="n">
        <v>0</v>
      </c>
      <c r="Q380" s="6" t="n">
        <v>0</v>
      </c>
      <c r="R380" s="6" t="n">
        <v>0</v>
      </c>
      <c r="S380" s="6" t="n">
        <v>0</v>
      </c>
      <c r="T380" s="6" t="n">
        <v>0</v>
      </c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</row>
    <row r="381" customFormat="false" ht="12.75" hidden="false" customHeight="false" outlineLevel="0" collapsed="false">
      <c r="C381" s="0" t="s">
        <v>20</v>
      </c>
      <c r="F381" s="6" t="n">
        <v>0</v>
      </c>
      <c r="G381" s="6" t="n">
        <v>0</v>
      </c>
      <c r="H381" s="6" t="n">
        <v>0</v>
      </c>
      <c r="I381" s="6" t="n">
        <v>0</v>
      </c>
      <c r="J381" s="6" t="n">
        <v>0</v>
      </c>
      <c r="K381" s="6" t="n">
        <v>0</v>
      </c>
      <c r="L381" s="6" t="n">
        <v>0</v>
      </c>
      <c r="M381" s="6" t="n">
        <v>0</v>
      </c>
      <c r="N381" s="6" t="n">
        <v>0</v>
      </c>
      <c r="O381" s="6" t="n">
        <v>0</v>
      </c>
      <c r="P381" s="6" t="n">
        <v>0</v>
      </c>
      <c r="Q381" s="6" t="n">
        <v>0</v>
      </c>
      <c r="R381" s="6" t="n">
        <v>0</v>
      </c>
      <c r="S381" s="6" t="n">
        <v>0</v>
      </c>
      <c r="T381" s="6" t="n">
        <v>0</v>
      </c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</row>
    <row r="382" customFormat="false" ht="12.75" hidden="false" customHeight="false" outlineLevel="0" collapsed="false">
      <c r="C382" s="0" t="s">
        <v>22</v>
      </c>
      <c r="F382" s="4" t="s">
        <v>90</v>
      </c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 customFormat="false" ht="12.75" hidden="false" customHeight="false" outlineLevel="0" collapsed="false"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 customFormat="false" ht="12.75" hidden="false" customHeight="false" outlineLevel="0" collapsed="false">
      <c r="B384" s="1" t="s">
        <v>81</v>
      </c>
      <c r="C384" s="1" t="s">
        <v>91</v>
      </c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 customFormat="false" ht="12.75" hidden="false" customHeight="false" outlineLevel="0" collapsed="false">
      <c r="D385" s="0" t="s">
        <v>17</v>
      </c>
      <c r="F385" s="4" t="n">
        <f aca="false">$F$17+$F$18</f>
        <v>0.2275</v>
      </c>
      <c r="G385" s="4" t="n">
        <f aca="false">$G$17+$G$18</f>
        <v>0.2275</v>
      </c>
      <c r="H385" s="4" t="n">
        <f aca="false">$H$17+$H$18</f>
        <v>0.1975</v>
      </c>
      <c r="I385" s="4" t="n">
        <f aca="false">$I$17+$I$18</f>
        <v>0.1575</v>
      </c>
      <c r="J385" s="4" t="n">
        <f aca="false">$J$17+$J$18</f>
        <v>0.1175</v>
      </c>
      <c r="K385" s="4" t="n">
        <f aca="false">$K$17+$K$18</f>
        <v>0.1175</v>
      </c>
      <c r="L385" s="4" t="n">
        <f aca="false">$L$17+$L$18</f>
        <v>0.1175</v>
      </c>
      <c r="M385" s="4" t="n">
        <f aca="false">$M$17+$M$18</f>
        <v>0.1175</v>
      </c>
      <c r="N385" s="4" t="n">
        <f aca="false">$N$17+$N$18</f>
        <v>0.1175</v>
      </c>
      <c r="O385" s="4" t="n">
        <f aca="false">$O$17+$O$18</f>
        <v>0.1575</v>
      </c>
      <c r="P385" s="4" t="n">
        <f aca="false">$P$17+$P$18</f>
        <v>0.2025</v>
      </c>
      <c r="Q385" s="4" t="n">
        <f aca="false">$Q$17+$Q$18</f>
        <v>0.2125</v>
      </c>
      <c r="R385" s="4" t="n">
        <f aca="false">$R$17+$R$18</f>
        <v>0.2325</v>
      </c>
      <c r="S385" s="4" t="n">
        <f aca="false">$S$17+$S$18</f>
        <v>0.2325</v>
      </c>
      <c r="T385" s="4" t="n">
        <f aca="false">$T$17+$T$18</f>
        <v>0.2025</v>
      </c>
    </row>
    <row r="386" customFormat="false" ht="12.75" hidden="false" customHeight="false" outlineLevel="0" collapsed="false">
      <c r="D386" s="0" t="s">
        <v>18</v>
      </c>
      <c r="F386" s="4" t="n">
        <f aca="false">$F$17+$F$18</f>
        <v>0.2275</v>
      </c>
      <c r="G386" s="4" t="n">
        <f aca="false">$G$17+$G$18</f>
        <v>0.2275</v>
      </c>
      <c r="H386" s="4" t="n">
        <f aca="false">$H$17+$H$18</f>
        <v>0.1975</v>
      </c>
      <c r="I386" s="4" t="n">
        <f aca="false">$I$17+$I$18</f>
        <v>0.1575</v>
      </c>
      <c r="J386" s="4" t="n">
        <f aca="false">$J$17+$J$18</f>
        <v>0.1175</v>
      </c>
      <c r="K386" s="4" t="n">
        <f aca="false">$K$17+$K$18</f>
        <v>0.1175</v>
      </c>
      <c r="L386" s="4" t="n">
        <f aca="false">$L$17+$L$18</f>
        <v>0.1175</v>
      </c>
      <c r="M386" s="4" t="n">
        <f aca="false">$M$17+$M$18</f>
        <v>0.1175</v>
      </c>
      <c r="N386" s="4" t="n">
        <f aca="false">$N$17+$N$18</f>
        <v>0.1175</v>
      </c>
      <c r="O386" s="4" t="n">
        <f aca="false">$O$17+$O$18</f>
        <v>0.1575</v>
      </c>
      <c r="P386" s="4" t="n">
        <f aca="false">$P$17+$P$18</f>
        <v>0.2025</v>
      </c>
      <c r="Q386" s="4" t="n">
        <f aca="false">$Q$17+$Q$18</f>
        <v>0.2125</v>
      </c>
      <c r="R386" s="4" t="n">
        <f aca="false">$R$17+$R$18</f>
        <v>0.2325</v>
      </c>
      <c r="S386" s="4" t="n">
        <f aca="false">$S$17+$S$18</f>
        <v>0.2325</v>
      </c>
      <c r="T386" s="4" t="n">
        <f aca="false">$T$17+$T$18</f>
        <v>0.2025</v>
      </c>
    </row>
    <row r="387" customFormat="false" ht="12.75" hidden="false" customHeight="false" outlineLevel="0" collapsed="false"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 customFormat="false" ht="12.75" hidden="true" customHeight="false" outlineLevel="0" collapsed="false">
      <c r="C388" s="0" t="s">
        <v>19</v>
      </c>
      <c r="F388" s="7" t="n">
        <v>4403</v>
      </c>
      <c r="G388" s="7" t="n">
        <v>4341</v>
      </c>
      <c r="H388" s="7" t="n">
        <v>1758</v>
      </c>
      <c r="I388" s="7" t="n">
        <v>1535</v>
      </c>
      <c r="J388" s="7" t="n">
        <v>1235</v>
      </c>
      <c r="K388" s="7" t="n">
        <v>2081</v>
      </c>
      <c r="L388" s="7" t="n">
        <v>1049</v>
      </c>
      <c r="M388" s="0" t="n">
        <v>0</v>
      </c>
      <c r="N388" s="0" t="n">
        <v>0</v>
      </c>
      <c r="O388" s="0" t="n">
        <v>0</v>
      </c>
      <c r="P388" s="0" t="n">
        <v>0</v>
      </c>
      <c r="Q388" s="0" t="n">
        <v>0</v>
      </c>
      <c r="R388" s="0" t="n">
        <v>0</v>
      </c>
      <c r="S388" s="0" t="n">
        <v>0</v>
      </c>
      <c r="T388" s="0" t="n">
        <v>0</v>
      </c>
    </row>
    <row r="389" customFormat="false" ht="12.75" hidden="false" customHeight="false" outlineLevel="0" collapsed="false">
      <c r="A389" s="8"/>
      <c r="B389" s="8"/>
      <c r="C389" s="0" t="s">
        <v>19</v>
      </c>
      <c r="D389" s="8"/>
      <c r="E389" s="8"/>
      <c r="F389" s="9" t="n">
        <f aca="false">F388/31</f>
        <v>142.032258064516</v>
      </c>
      <c r="G389" s="9" t="n">
        <f aca="false">G388/29</f>
        <v>149.689655172414</v>
      </c>
      <c r="H389" s="9" t="n">
        <f aca="false">H388/31</f>
        <v>56.7096774193548</v>
      </c>
      <c r="I389" s="9" t="n">
        <f aca="false">I388/30</f>
        <v>51.1666666666667</v>
      </c>
      <c r="J389" s="9" t="n">
        <f aca="false">J388/31</f>
        <v>39.8387096774194</v>
      </c>
      <c r="K389" s="9" t="n">
        <f aca="false">K388/30</f>
        <v>69.3666666666667</v>
      </c>
      <c r="L389" s="9" t="n">
        <f aca="false">L388/31</f>
        <v>33.8387096774194</v>
      </c>
      <c r="M389" s="9" t="n">
        <f aca="false">M388/31</f>
        <v>0</v>
      </c>
      <c r="N389" s="9" t="n">
        <f aca="false">N388/30</f>
        <v>0</v>
      </c>
      <c r="O389" s="9" t="n">
        <f aca="false">O388/31</f>
        <v>0</v>
      </c>
      <c r="P389" s="9" t="n">
        <f aca="false">P388/30</f>
        <v>0</v>
      </c>
      <c r="Q389" s="9" t="n">
        <f aca="false">Q388/31</f>
        <v>0</v>
      </c>
      <c r="R389" s="9" t="n">
        <f aca="false">R388/31</f>
        <v>0</v>
      </c>
      <c r="S389" s="9" t="n">
        <f aca="false">S388/28</f>
        <v>0</v>
      </c>
      <c r="T389" s="9" t="n">
        <f aca="false">T388/31</f>
        <v>0</v>
      </c>
    </row>
    <row r="390" customFormat="false" ht="12.75" hidden="false" customHeight="false" outlineLevel="0" collapsed="false">
      <c r="C390" s="0" t="s">
        <v>20</v>
      </c>
      <c r="F390" s="6" t="n">
        <v>0</v>
      </c>
      <c r="G390" s="6" t="n">
        <v>0</v>
      </c>
      <c r="H390" s="6" t="n">
        <v>0</v>
      </c>
      <c r="I390" s="6" t="n">
        <v>0</v>
      </c>
      <c r="J390" s="6" t="n">
        <v>0</v>
      </c>
      <c r="K390" s="6" t="n">
        <v>0</v>
      </c>
      <c r="L390" s="6" t="n">
        <v>0</v>
      </c>
      <c r="M390" s="6" t="n">
        <v>0</v>
      </c>
      <c r="N390" s="6" t="n">
        <v>0</v>
      </c>
      <c r="O390" s="6" t="n">
        <v>0</v>
      </c>
      <c r="P390" s="6" t="n">
        <v>0</v>
      </c>
      <c r="Q390" s="6" t="n">
        <v>0</v>
      </c>
      <c r="R390" s="6" t="n">
        <v>0</v>
      </c>
      <c r="S390" s="6" t="n">
        <v>0</v>
      </c>
      <c r="T390" s="6" t="n">
        <v>0</v>
      </c>
    </row>
    <row r="391" customFormat="false" ht="12.75" hidden="true" customHeight="false" outlineLevel="0" collapsed="false">
      <c r="C391" s="0" t="s">
        <v>21</v>
      </c>
      <c r="F391" s="7" t="n">
        <f aca="false">518+3200+1260+63</f>
        <v>5041</v>
      </c>
      <c r="G391" s="7" t="n">
        <f aca="false">469+2887+1260+63</f>
        <v>4679</v>
      </c>
      <c r="H391" s="7" t="n">
        <f aca="false">482+3187+1260+63</f>
        <v>4992</v>
      </c>
      <c r="I391" s="7" t="n">
        <f aca="false">463+3081+1260+62</f>
        <v>4866</v>
      </c>
      <c r="J391" s="7" t="n">
        <f aca="false">468+3139+1259+62</f>
        <v>4928</v>
      </c>
      <c r="K391" s="7" t="n">
        <f aca="false">452+3021+39+62</f>
        <v>3574</v>
      </c>
      <c r="L391" s="7" t="n">
        <f aca="false">466+3116+39+61</f>
        <v>3682</v>
      </c>
      <c r="M391" s="7" t="n">
        <f aca="false">464+3100+39+61</f>
        <v>3664</v>
      </c>
      <c r="N391" s="7" t="n">
        <f aca="false">438+2986+39+61</f>
        <v>3524</v>
      </c>
      <c r="O391" s="7" t="n">
        <f aca="false">449+3069+39+61</f>
        <v>3618</v>
      </c>
      <c r="P391" s="7" t="n">
        <f aca="false">433+2956+38</f>
        <v>3427</v>
      </c>
      <c r="Q391" s="7" t="n">
        <f aca="false">447+2387+38</f>
        <v>2872</v>
      </c>
      <c r="R391" s="7" t="n">
        <f aca="false">406+2364</f>
        <v>2770</v>
      </c>
      <c r="S391" s="7" t="n">
        <f aca="false">344+2125</f>
        <v>2469</v>
      </c>
      <c r="T391" s="7" t="n">
        <f aca="false">369+1629</f>
        <v>1998</v>
      </c>
    </row>
    <row r="392" customFormat="false" ht="12.75" hidden="false" customHeight="false" outlineLevel="0" collapsed="false">
      <c r="A392" s="8"/>
      <c r="B392" s="8"/>
      <c r="C392" s="0" t="s">
        <v>21</v>
      </c>
      <c r="D392" s="8"/>
      <c r="E392" s="8"/>
      <c r="F392" s="9" t="n">
        <f aca="false">F391/31</f>
        <v>162.612903225806</v>
      </c>
      <c r="G392" s="9" t="n">
        <v>166</v>
      </c>
      <c r="H392" s="9" t="n">
        <f aca="false">H391/31</f>
        <v>161.032258064516</v>
      </c>
      <c r="I392" s="9" t="n">
        <f aca="false">I391/30</f>
        <v>162.2</v>
      </c>
      <c r="J392" s="9" t="n">
        <f aca="false">J391/31</f>
        <v>158.967741935484</v>
      </c>
      <c r="K392" s="9" t="n">
        <f aca="false">K391/30</f>
        <v>119.133333333333</v>
      </c>
      <c r="L392" s="9" t="n">
        <f aca="false">L391/31</f>
        <v>118.774193548387</v>
      </c>
      <c r="M392" s="9" t="n">
        <f aca="false">M391/31</f>
        <v>118.193548387097</v>
      </c>
      <c r="N392" s="9" t="n">
        <f aca="false">N391/30</f>
        <v>117.466666666667</v>
      </c>
      <c r="O392" s="9" t="n">
        <f aca="false">O391/31</f>
        <v>116.709677419355</v>
      </c>
      <c r="P392" s="9" t="n">
        <f aca="false">P391/30</f>
        <v>114.233333333333</v>
      </c>
      <c r="Q392" s="9" t="n">
        <f aca="false">Q391/31</f>
        <v>92.6451612903226</v>
      </c>
      <c r="R392" s="9" t="n">
        <f aca="false">R391/31</f>
        <v>89.3548387096774</v>
      </c>
      <c r="S392" s="9" t="n">
        <f aca="false">S391/28</f>
        <v>88.1785714285714</v>
      </c>
      <c r="T392" s="9" t="n">
        <f aca="false">T391/31</f>
        <v>64.4516129032258</v>
      </c>
    </row>
    <row r="393" customFormat="false" ht="12.75" hidden="false" customHeight="false" outlineLevel="0" collapsed="false">
      <c r="C393" s="0" t="s">
        <v>20</v>
      </c>
      <c r="F393" s="6" t="n">
        <v>123</v>
      </c>
      <c r="G393" s="6" t="n">
        <v>123</v>
      </c>
      <c r="H393" s="6" t="n">
        <v>123</v>
      </c>
      <c r="I393" s="6" t="n">
        <v>123</v>
      </c>
      <c r="J393" s="6" t="n">
        <v>123</v>
      </c>
      <c r="K393" s="6" t="n">
        <v>123</v>
      </c>
      <c r="L393" s="6" t="n">
        <v>123</v>
      </c>
      <c r="M393" s="6" t="n">
        <v>123</v>
      </c>
      <c r="N393" s="6" t="n">
        <v>123</v>
      </c>
      <c r="O393" s="6" t="n">
        <v>123</v>
      </c>
      <c r="P393" s="6" t="n">
        <v>0</v>
      </c>
      <c r="Q393" s="6" t="n">
        <v>0</v>
      </c>
      <c r="R393" s="6" t="n">
        <v>0</v>
      </c>
      <c r="S393" s="6" t="n">
        <v>0</v>
      </c>
      <c r="T393" s="6" t="n">
        <v>0</v>
      </c>
    </row>
    <row r="394" customFormat="false" ht="12.75" hidden="false" customHeight="false" outlineLevel="0" collapsed="false">
      <c r="C394" s="0" t="s">
        <v>22</v>
      </c>
      <c r="F394" s="4" t="s">
        <v>92</v>
      </c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customFormat="false" ht="12.75" hidden="false" customHeight="false" outlineLevel="0" collapsed="false"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 customFormat="false" ht="12.75" hidden="false" customHeight="false" outlineLevel="0" collapsed="false">
      <c r="B396" s="1" t="s">
        <v>81</v>
      </c>
      <c r="C396" s="1" t="s">
        <v>93</v>
      </c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 customFormat="false" ht="12.75" hidden="false" customHeight="false" outlineLevel="0" collapsed="false">
      <c r="D397" s="0" t="s">
        <v>17</v>
      </c>
      <c r="F397" s="4" t="n">
        <f aca="false">$F$17+$F$18</f>
        <v>0.2275</v>
      </c>
      <c r="G397" s="4" t="n">
        <f aca="false">$G$17+$G$18</f>
        <v>0.2275</v>
      </c>
      <c r="H397" s="4" t="n">
        <f aca="false">$H$17+$H$18</f>
        <v>0.1975</v>
      </c>
      <c r="I397" s="4" t="n">
        <f aca="false">$I$17+$I$18</f>
        <v>0.1575</v>
      </c>
      <c r="J397" s="4" t="n">
        <f aca="false">$J$17+$J$18</f>
        <v>0.1175</v>
      </c>
      <c r="K397" s="4" t="n">
        <f aca="false">$K$17+$K$18</f>
        <v>0.1175</v>
      </c>
      <c r="L397" s="4" t="n">
        <f aca="false">$L$17+$L$18</f>
        <v>0.1175</v>
      </c>
      <c r="M397" s="4" t="n">
        <f aca="false">$M$17+$M$18</f>
        <v>0.1175</v>
      </c>
      <c r="N397" s="4" t="n">
        <f aca="false">$N$17+$N$18</f>
        <v>0.1175</v>
      </c>
      <c r="O397" s="4" t="n">
        <f aca="false">$O$17+$O$18</f>
        <v>0.1575</v>
      </c>
      <c r="P397" s="4" t="n">
        <f aca="false">$P$17+$P$18</f>
        <v>0.2025</v>
      </c>
      <c r="Q397" s="4" t="n">
        <f aca="false">$Q$17+$Q$18</f>
        <v>0.2125</v>
      </c>
      <c r="R397" s="4" t="n">
        <f aca="false">$R$17+$R$18</f>
        <v>0.2325</v>
      </c>
      <c r="S397" s="4" t="n">
        <f aca="false">$S$17+$S$18</f>
        <v>0.2325</v>
      </c>
      <c r="T397" s="4" t="n">
        <f aca="false">$T$17+$T$18</f>
        <v>0.2025</v>
      </c>
    </row>
    <row r="398" customFormat="false" ht="12.75" hidden="false" customHeight="false" outlineLevel="0" collapsed="false">
      <c r="D398" s="0" t="s">
        <v>18</v>
      </c>
      <c r="F398" s="4" t="n">
        <f aca="false">$F$17+$F$18</f>
        <v>0.2275</v>
      </c>
      <c r="G398" s="4" t="n">
        <f aca="false">$G$17+$G$18</f>
        <v>0.2275</v>
      </c>
      <c r="H398" s="4" t="n">
        <f aca="false">$H$17+$H$18</f>
        <v>0.1975</v>
      </c>
      <c r="I398" s="4" t="n">
        <f aca="false">$I$17+$I$18</f>
        <v>0.1575</v>
      </c>
      <c r="J398" s="4" t="n">
        <f aca="false">$J$17+$J$18</f>
        <v>0.1175</v>
      </c>
      <c r="K398" s="4" t="n">
        <f aca="false">$K$17+$K$18</f>
        <v>0.1175</v>
      </c>
      <c r="L398" s="4" t="n">
        <f aca="false">$L$17+$L$18</f>
        <v>0.1175</v>
      </c>
      <c r="M398" s="4" t="n">
        <f aca="false">$M$17+$M$18</f>
        <v>0.1175</v>
      </c>
      <c r="N398" s="4" t="n">
        <f aca="false">$N$17+$N$18</f>
        <v>0.1175</v>
      </c>
      <c r="O398" s="4" t="n">
        <f aca="false">$O$17+$O$18</f>
        <v>0.1575</v>
      </c>
      <c r="P398" s="4" t="n">
        <f aca="false">$P$17+$P$18</f>
        <v>0.2025</v>
      </c>
      <c r="Q398" s="4" t="n">
        <f aca="false">$Q$17+$Q$18</f>
        <v>0.2125</v>
      </c>
      <c r="R398" s="4" t="n">
        <f aca="false">$R$17+$R$18</f>
        <v>0.2325</v>
      </c>
      <c r="S398" s="4" t="n">
        <f aca="false">$S$17+$S$18</f>
        <v>0.2325</v>
      </c>
      <c r="T398" s="4" t="n">
        <f aca="false">$T$17+$T$18</f>
        <v>0.2025</v>
      </c>
    </row>
    <row r="399" customFormat="false" ht="12.75" hidden="false" customHeight="false" outlineLevel="0" collapsed="false"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customFormat="false" ht="12.75" hidden="true" customHeight="false" outlineLevel="0" collapsed="false">
      <c r="C400" s="0" t="s">
        <v>19</v>
      </c>
      <c r="F400" s="7" t="n">
        <v>11071</v>
      </c>
      <c r="G400" s="7" t="n">
        <v>10456</v>
      </c>
      <c r="H400" s="7" t="n">
        <v>5570</v>
      </c>
      <c r="I400" s="7" t="n">
        <v>10029</v>
      </c>
      <c r="J400" s="7" t="n">
        <v>7961</v>
      </c>
      <c r="K400" s="7" t="n">
        <v>7265</v>
      </c>
      <c r="L400" s="7" t="n">
        <v>7224</v>
      </c>
      <c r="M400" s="7" t="n">
        <v>8552</v>
      </c>
      <c r="N400" s="7" t="n">
        <v>8172</v>
      </c>
      <c r="O400" s="7" t="n">
        <v>8172</v>
      </c>
      <c r="P400" s="7" t="n">
        <v>8415</v>
      </c>
      <c r="Q400" s="7" t="n">
        <v>8675</v>
      </c>
      <c r="R400" s="7" t="n">
        <v>8625</v>
      </c>
      <c r="S400" s="7" t="n">
        <v>7774</v>
      </c>
      <c r="T400" s="7" t="n">
        <v>8675</v>
      </c>
    </row>
    <row r="401" customFormat="false" ht="12.75" hidden="false" customHeight="false" outlineLevel="0" collapsed="false">
      <c r="A401" s="8"/>
      <c r="B401" s="8"/>
      <c r="C401" s="0" t="s">
        <v>19</v>
      </c>
      <c r="D401" s="8"/>
      <c r="E401" s="8"/>
      <c r="F401" s="9" t="n">
        <f aca="false">F400/31</f>
        <v>357.129032258065</v>
      </c>
      <c r="G401" s="9" t="n">
        <f aca="false">G400/29</f>
        <v>360.551724137931</v>
      </c>
      <c r="H401" s="9" t="n">
        <f aca="false">H400/31</f>
        <v>179.677419354839</v>
      </c>
      <c r="I401" s="9" t="n">
        <f aca="false">I400/30</f>
        <v>334.3</v>
      </c>
      <c r="J401" s="9" t="n">
        <f aca="false">J400/31</f>
        <v>256.806451612903</v>
      </c>
      <c r="K401" s="9" t="n">
        <f aca="false">K400/30</f>
        <v>242.166666666667</v>
      </c>
      <c r="L401" s="9" t="n">
        <f aca="false">L400/31</f>
        <v>233.032258064516</v>
      </c>
      <c r="M401" s="9" t="n">
        <f aca="false">M400/31</f>
        <v>275.870967741936</v>
      </c>
      <c r="N401" s="9" t="n">
        <f aca="false">N400/30</f>
        <v>272.4</v>
      </c>
      <c r="O401" s="9" t="n">
        <f aca="false">O400/31</f>
        <v>263.612903225806</v>
      </c>
      <c r="P401" s="9" t="n">
        <f aca="false">P400/30</f>
        <v>280.5</v>
      </c>
      <c r="Q401" s="9" t="n">
        <f aca="false">Q400/31</f>
        <v>279.838709677419</v>
      </c>
      <c r="R401" s="9" t="n">
        <f aca="false">R400/31</f>
        <v>278.225806451613</v>
      </c>
      <c r="S401" s="9" t="n">
        <f aca="false">S400/28</f>
        <v>277.642857142857</v>
      </c>
      <c r="T401" s="9" t="n">
        <f aca="false">T400/31</f>
        <v>279.838709677419</v>
      </c>
    </row>
    <row r="402" customFormat="false" ht="12.75" hidden="false" customHeight="false" outlineLevel="0" collapsed="false">
      <c r="C402" s="0" t="s">
        <v>20</v>
      </c>
      <c r="F402" s="6" t="n">
        <v>0</v>
      </c>
      <c r="G402" s="6" t="n">
        <v>0</v>
      </c>
      <c r="H402" s="6" t="n">
        <v>0</v>
      </c>
      <c r="I402" s="6" t="n">
        <v>0</v>
      </c>
      <c r="J402" s="6" t="n">
        <v>0</v>
      </c>
      <c r="K402" s="6" t="n">
        <v>0</v>
      </c>
      <c r="L402" s="6" t="n">
        <v>0</v>
      </c>
      <c r="M402" s="6" t="n">
        <v>0</v>
      </c>
      <c r="N402" s="6" t="n">
        <v>0</v>
      </c>
      <c r="O402" s="6" t="n">
        <v>0</v>
      </c>
      <c r="P402" s="6" t="n">
        <v>0</v>
      </c>
      <c r="Q402" s="6" t="n">
        <v>0</v>
      </c>
      <c r="R402" s="6" t="n">
        <v>0</v>
      </c>
      <c r="S402" s="6" t="n">
        <v>0</v>
      </c>
      <c r="T402" s="6" t="n">
        <v>0</v>
      </c>
    </row>
    <row r="403" customFormat="false" ht="12.75" hidden="true" customHeight="false" outlineLevel="0" collapsed="false">
      <c r="C403" s="0" t="s">
        <v>21</v>
      </c>
      <c r="F403" s="7" t="n">
        <f aca="false">1719+327+3929</f>
        <v>5975</v>
      </c>
      <c r="G403" s="7" t="n">
        <f aca="false">1505+295+3538</f>
        <v>5338</v>
      </c>
      <c r="H403" s="7" t="n">
        <f aca="false">1173+303+3906</f>
        <v>5382</v>
      </c>
      <c r="I403" s="7" t="n">
        <f aca="false">721+291+3776</f>
        <v>4788</v>
      </c>
      <c r="J403" s="7" t="n">
        <f aca="false">357+294+3848</f>
        <v>4499</v>
      </c>
      <c r="K403" s="7" t="n">
        <f aca="false">179+284+3703</f>
        <v>4166</v>
      </c>
      <c r="L403" s="7" t="n">
        <f aca="false">167+293+3819</f>
        <v>4279</v>
      </c>
      <c r="M403" s="7" t="n">
        <f aca="false">168+291+3800</f>
        <v>4259</v>
      </c>
      <c r="N403" s="7" t="n">
        <f aca="false">213+275+3660</f>
        <v>4148</v>
      </c>
      <c r="O403" s="7" t="n">
        <f aca="false">353+282+3761</f>
        <v>4396</v>
      </c>
      <c r="P403" s="7" t="n">
        <f aca="false">391+272+3624</f>
        <v>4287</v>
      </c>
      <c r="Q403" s="7" t="n">
        <f aca="false">527+281+2926</f>
        <v>3734</v>
      </c>
      <c r="R403" s="7" t="n">
        <f aca="false">249+255+2898</f>
        <v>3402</v>
      </c>
      <c r="S403" s="7" t="n">
        <f aca="false">113+216+2605</f>
        <v>2934</v>
      </c>
      <c r="T403" s="7" t="n">
        <f aca="false">52+232+1996</f>
        <v>2280</v>
      </c>
    </row>
    <row r="404" customFormat="false" ht="12.75" hidden="false" customHeight="false" outlineLevel="0" collapsed="false">
      <c r="A404" s="8"/>
      <c r="B404" s="8"/>
      <c r="C404" s="0" t="s">
        <v>21</v>
      </c>
      <c r="D404" s="8"/>
      <c r="E404" s="8"/>
      <c r="F404" s="9" t="n">
        <f aca="false">F403/31</f>
        <v>192.741935483871</v>
      </c>
      <c r="G404" s="9" t="n">
        <v>190</v>
      </c>
      <c r="H404" s="9" t="n">
        <f aca="false">H403/31</f>
        <v>173.612903225806</v>
      </c>
      <c r="I404" s="9" t="n">
        <f aca="false">I403/30</f>
        <v>159.6</v>
      </c>
      <c r="J404" s="9" t="n">
        <f aca="false">J403/31</f>
        <v>145.129032258065</v>
      </c>
      <c r="K404" s="9" t="n">
        <f aca="false">K403/30</f>
        <v>138.866666666667</v>
      </c>
      <c r="L404" s="9" t="n">
        <f aca="false">L403/31</f>
        <v>138.032258064516</v>
      </c>
      <c r="M404" s="9" t="n">
        <f aca="false">M403/31</f>
        <v>137.387096774194</v>
      </c>
      <c r="N404" s="9" t="n">
        <f aca="false">N403/30</f>
        <v>138.266666666667</v>
      </c>
      <c r="O404" s="9" t="n">
        <f aca="false">O403/31</f>
        <v>141.806451612903</v>
      </c>
      <c r="P404" s="9" t="n">
        <f aca="false">P403/30</f>
        <v>142.9</v>
      </c>
      <c r="Q404" s="9" t="n">
        <f aca="false">Q403/31</f>
        <v>120.451612903226</v>
      </c>
      <c r="R404" s="9" t="n">
        <f aca="false">R403/31</f>
        <v>109.741935483871</v>
      </c>
      <c r="S404" s="9" t="n">
        <f aca="false">S403/28</f>
        <v>104.785714285714</v>
      </c>
      <c r="T404" s="9" t="n">
        <f aca="false">T403/31</f>
        <v>73.5483870967742</v>
      </c>
    </row>
    <row r="405" customFormat="false" ht="12.75" hidden="false" customHeight="false" outlineLevel="0" collapsed="false">
      <c r="C405" s="0" t="s">
        <v>20</v>
      </c>
      <c r="F405" s="6" t="n">
        <f aca="false">138+81</f>
        <v>219</v>
      </c>
      <c r="G405" s="6" t="n">
        <f aca="false">138+81</f>
        <v>219</v>
      </c>
      <c r="H405" s="6" t="n">
        <f aca="false">138+81</f>
        <v>219</v>
      </c>
      <c r="I405" s="6" t="n">
        <v>138</v>
      </c>
      <c r="J405" s="6" t="n">
        <v>138</v>
      </c>
      <c r="K405" s="6" t="n">
        <v>138</v>
      </c>
      <c r="L405" s="6" t="n">
        <v>138</v>
      </c>
      <c r="M405" s="6" t="n">
        <v>138</v>
      </c>
      <c r="N405" s="6" t="n">
        <v>138</v>
      </c>
      <c r="O405" s="6" t="n">
        <v>138</v>
      </c>
      <c r="P405" s="6" t="n">
        <v>0</v>
      </c>
      <c r="Q405" s="6" t="n">
        <v>0</v>
      </c>
      <c r="R405" s="6" t="n">
        <v>0</v>
      </c>
      <c r="S405" s="6" t="n">
        <v>0</v>
      </c>
      <c r="T405" s="6" t="n">
        <v>0</v>
      </c>
    </row>
    <row r="406" customFormat="false" ht="12.75" hidden="false" customHeight="false" outlineLevel="0" collapsed="false">
      <c r="C406" s="0" t="s">
        <v>22</v>
      </c>
      <c r="F406" s="4" t="s">
        <v>94</v>
      </c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customFormat="false" ht="12.75" hidden="false" customHeight="false" outlineLevel="0" collapsed="false"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customFormat="false" ht="12.75" hidden="false" customHeight="false" outlineLevel="0" collapsed="false">
      <c r="B408" s="1" t="s">
        <v>81</v>
      </c>
      <c r="C408" s="1" t="s">
        <v>95</v>
      </c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 customFormat="false" ht="12.75" hidden="false" customHeight="false" outlineLevel="0" collapsed="false">
      <c r="D409" s="0" t="s">
        <v>17</v>
      </c>
      <c r="F409" s="4" t="n">
        <f aca="false">$F$17+$F$18</f>
        <v>0.2275</v>
      </c>
      <c r="G409" s="4" t="n">
        <f aca="false">$G$17+$G$18</f>
        <v>0.2275</v>
      </c>
      <c r="H409" s="4" t="n">
        <f aca="false">$H$17+$H$18</f>
        <v>0.1975</v>
      </c>
      <c r="I409" s="4" t="n">
        <f aca="false">$I$17+$I$18</f>
        <v>0.1575</v>
      </c>
      <c r="J409" s="4" t="n">
        <f aca="false">$J$17+$J$18</f>
        <v>0.1175</v>
      </c>
      <c r="K409" s="4" t="n">
        <f aca="false">$K$17+$K$18</f>
        <v>0.1175</v>
      </c>
      <c r="L409" s="4" t="n">
        <f aca="false">$L$17+$L$18</f>
        <v>0.1175</v>
      </c>
      <c r="M409" s="4" t="n">
        <f aca="false">$M$17+$M$18</f>
        <v>0.1175</v>
      </c>
      <c r="N409" s="4" t="n">
        <f aca="false">$N$17+$N$18</f>
        <v>0.1175</v>
      </c>
      <c r="O409" s="4" t="n">
        <f aca="false">$O$17+$O$18</f>
        <v>0.1575</v>
      </c>
      <c r="P409" s="4" t="n">
        <f aca="false">$P$17+$P$18</f>
        <v>0.2025</v>
      </c>
      <c r="Q409" s="4" t="n">
        <f aca="false">$Q$17+$Q$18</f>
        <v>0.2125</v>
      </c>
      <c r="R409" s="4" t="n">
        <f aca="false">$R$17+$R$18</f>
        <v>0.2325</v>
      </c>
      <c r="S409" s="4" t="n">
        <f aca="false">$S$17+$S$18</f>
        <v>0.2325</v>
      </c>
      <c r="T409" s="4" t="n">
        <f aca="false">$T$17+$T$18</f>
        <v>0.2025</v>
      </c>
    </row>
    <row r="410" customFormat="false" ht="12.75" hidden="false" customHeight="false" outlineLevel="0" collapsed="false">
      <c r="D410" s="0" t="s">
        <v>18</v>
      </c>
      <c r="F410" s="4" t="n">
        <f aca="false">$F$17+$F$18</f>
        <v>0.2275</v>
      </c>
      <c r="G410" s="4" t="n">
        <f aca="false">$G$17+$G$18</f>
        <v>0.2275</v>
      </c>
      <c r="H410" s="4" t="n">
        <f aca="false">$H$17+$H$18</f>
        <v>0.1975</v>
      </c>
      <c r="I410" s="4" t="n">
        <f aca="false">$I$17+$I$18</f>
        <v>0.1575</v>
      </c>
      <c r="J410" s="4" t="n">
        <f aca="false">$J$17+$J$18</f>
        <v>0.1175</v>
      </c>
      <c r="K410" s="4" t="n">
        <f aca="false">$K$17+$K$18</f>
        <v>0.1175</v>
      </c>
      <c r="L410" s="4" t="n">
        <f aca="false">$L$17+$L$18</f>
        <v>0.1175</v>
      </c>
      <c r="M410" s="4" t="n">
        <f aca="false">$M$17+$M$18</f>
        <v>0.1175</v>
      </c>
      <c r="N410" s="4" t="n">
        <f aca="false">$N$17+$N$18</f>
        <v>0.1175</v>
      </c>
      <c r="O410" s="4" t="n">
        <f aca="false">$O$17+$O$18</f>
        <v>0.1575</v>
      </c>
      <c r="P410" s="4" t="n">
        <f aca="false">$P$17+$P$18</f>
        <v>0.2025</v>
      </c>
      <c r="Q410" s="4" t="n">
        <f aca="false">$Q$17+$Q$18</f>
        <v>0.2125</v>
      </c>
      <c r="R410" s="4" t="n">
        <f aca="false">$R$17+$R$18</f>
        <v>0.2325</v>
      </c>
      <c r="S410" s="4" t="n">
        <f aca="false">$S$17+$S$18</f>
        <v>0.2325</v>
      </c>
      <c r="T410" s="4" t="n">
        <f aca="false">$T$17+$T$18</f>
        <v>0.2025</v>
      </c>
    </row>
    <row r="411" customFormat="false" ht="12.75" hidden="false" customHeight="false" outlineLevel="0" collapsed="false"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customFormat="false" ht="12.75" hidden="false" customHeight="false" outlineLevel="0" collapsed="false">
      <c r="C412" s="0" t="s">
        <v>19</v>
      </c>
      <c r="F412" s="6" t="n">
        <v>0</v>
      </c>
      <c r="G412" s="6" t="n">
        <v>0</v>
      </c>
      <c r="H412" s="6" t="n">
        <v>0</v>
      </c>
      <c r="I412" s="6" t="n">
        <v>0</v>
      </c>
      <c r="J412" s="6" t="n">
        <v>0</v>
      </c>
      <c r="K412" s="6" t="n">
        <v>0</v>
      </c>
      <c r="L412" s="6" t="n">
        <v>0</v>
      </c>
      <c r="M412" s="6" t="n">
        <v>0</v>
      </c>
      <c r="N412" s="6" t="n">
        <v>0</v>
      </c>
      <c r="O412" s="6" t="n">
        <v>0</v>
      </c>
      <c r="P412" s="6" t="n">
        <v>0</v>
      </c>
      <c r="Q412" s="6" t="n">
        <v>0</v>
      </c>
      <c r="R412" s="6" t="n">
        <v>0</v>
      </c>
      <c r="S412" s="6" t="n">
        <v>0</v>
      </c>
      <c r="T412" s="6" t="n">
        <v>0</v>
      </c>
    </row>
    <row r="413" customFormat="false" ht="12.75" hidden="false" customHeight="false" outlineLevel="0" collapsed="false">
      <c r="C413" s="0" t="s">
        <v>20</v>
      </c>
      <c r="F413" s="6" t="n">
        <v>0</v>
      </c>
      <c r="G413" s="6" t="n">
        <v>0</v>
      </c>
      <c r="H413" s="6" t="n">
        <v>0</v>
      </c>
      <c r="I413" s="6" t="n">
        <v>0</v>
      </c>
      <c r="J413" s="6" t="n">
        <v>0</v>
      </c>
      <c r="K413" s="6" t="n">
        <v>0</v>
      </c>
      <c r="L413" s="6" t="n">
        <v>0</v>
      </c>
      <c r="M413" s="6" t="n">
        <v>0</v>
      </c>
      <c r="N413" s="6" t="n">
        <v>0</v>
      </c>
      <c r="O413" s="6" t="n">
        <v>0</v>
      </c>
      <c r="P413" s="6" t="n">
        <v>0</v>
      </c>
      <c r="Q413" s="6" t="n">
        <v>0</v>
      </c>
      <c r="R413" s="6" t="n">
        <v>0</v>
      </c>
      <c r="S413" s="6" t="n">
        <v>0</v>
      </c>
      <c r="T413" s="6" t="n">
        <v>0</v>
      </c>
    </row>
    <row r="414" customFormat="false" ht="12.75" hidden="false" customHeight="false" outlineLevel="0" collapsed="false">
      <c r="C414" s="0" t="s">
        <v>21</v>
      </c>
      <c r="F414" s="6" t="n">
        <v>0</v>
      </c>
      <c r="G414" s="6" t="n">
        <v>0</v>
      </c>
      <c r="H414" s="6" t="n">
        <v>0</v>
      </c>
      <c r="I414" s="6" t="n">
        <v>0</v>
      </c>
      <c r="J414" s="6" t="n">
        <v>0</v>
      </c>
      <c r="K414" s="6" t="n">
        <v>0</v>
      </c>
      <c r="L414" s="6" t="n">
        <v>0</v>
      </c>
      <c r="M414" s="6" t="n">
        <v>0</v>
      </c>
      <c r="N414" s="6" t="n">
        <v>0</v>
      </c>
      <c r="O414" s="6" t="n">
        <v>0</v>
      </c>
      <c r="P414" s="6" t="n">
        <v>0</v>
      </c>
      <c r="Q414" s="6" t="n">
        <v>0</v>
      </c>
      <c r="R414" s="6" t="n">
        <v>0</v>
      </c>
      <c r="S414" s="6" t="n">
        <v>0</v>
      </c>
      <c r="T414" s="6" t="n">
        <v>0</v>
      </c>
    </row>
    <row r="415" customFormat="false" ht="12.75" hidden="false" customHeight="false" outlineLevel="0" collapsed="false">
      <c r="C415" s="0" t="s">
        <v>20</v>
      </c>
      <c r="F415" s="6" t="n">
        <v>0</v>
      </c>
      <c r="G415" s="6" t="n">
        <v>0</v>
      </c>
      <c r="H415" s="6" t="n">
        <v>0</v>
      </c>
      <c r="I415" s="6" t="n">
        <v>0</v>
      </c>
      <c r="J415" s="6" t="n">
        <v>0</v>
      </c>
      <c r="K415" s="6" t="n">
        <v>0</v>
      </c>
      <c r="L415" s="6" t="n">
        <v>0</v>
      </c>
      <c r="M415" s="6" t="n">
        <v>0</v>
      </c>
      <c r="N415" s="6" t="n">
        <v>0</v>
      </c>
      <c r="O415" s="6" t="n">
        <v>0</v>
      </c>
      <c r="P415" s="6" t="n">
        <v>0</v>
      </c>
      <c r="Q415" s="6" t="n">
        <v>0</v>
      </c>
      <c r="R415" s="6" t="n">
        <v>0</v>
      </c>
      <c r="S415" s="6" t="n">
        <v>0</v>
      </c>
      <c r="T415" s="6" t="n">
        <v>0</v>
      </c>
    </row>
    <row r="416" customFormat="false" ht="12.75" hidden="false" customHeight="false" outlineLevel="0" collapsed="false">
      <c r="C416" s="0" t="s">
        <v>22</v>
      </c>
      <c r="F416" s="4" t="s">
        <v>96</v>
      </c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customFormat="false" ht="12.75" hidden="false" customHeight="false" outlineLevel="0" collapsed="false"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 customFormat="false" ht="12.75" hidden="false" customHeight="false" outlineLevel="0" collapsed="false">
      <c r="B418" s="1" t="s">
        <v>97</v>
      </c>
      <c r="C418" s="1" t="s">
        <v>98</v>
      </c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 customFormat="false" ht="12.75" hidden="false" customHeight="false" outlineLevel="0" collapsed="false">
      <c r="D419" s="0" t="s">
        <v>17</v>
      </c>
      <c r="F419" s="4" t="n">
        <f aca="false">$F$17+$F$18</f>
        <v>0.2275</v>
      </c>
      <c r="G419" s="4" t="n">
        <f aca="false">$G$17+$G$18</f>
        <v>0.2275</v>
      </c>
      <c r="H419" s="4" t="n">
        <f aca="false">$H$17+$H$18</f>
        <v>0.1975</v>
      </c>
      <c r="I419" s="4" t="n">
        <f aca="false">$I$17+$I$18</f>
        <v>0.1575</v>
      </c>
      <c r="J419" s="4" t="n">
        <f aca="false">$J$17+$J$18</f>
        <v>0.1175</v>
      </c>
      <c r="K419" s="4" t="n">
        <f aca="false">$K$17+$K$18</f>
        <v>0.1175</v>
      </c>
      <c r="L419" s="4" t="n">
        <f aca="false">$L$17+$L$18</f>
        <v>0.1175</v>
      </c>
      <c r="M419" s="4" t="n">
        <f aca="false">$M$17+$M$18</f>
        <v>0.1175</v>
      </c>
      <c r="N419" s="4" t="n">
        <f aca="false">$N$17+$N$18</f>
        <v>0.1175</v>
      </c>
      <c r="O419" s="4" t="n">
        <f aca="false">$O$17+$O$18</f>
        <v>0.1575</v>
      </c>
      <c r="P419" s="4" t="n">
        <f aca="false">$P$17+$P$18</f>
        <v>0.2025</v>
      </c>
      <c r="Q419" s="4" t="n">
        <f aca="false">$Q$17+$Q$18</f>
        <v>0.2125</v>
      </c>
      <c r="R419" s="4" t="n">
        <f aca="false">$R$17+$R$18</f>
        <v>0.2325</v>
      </c>
      <c r="S419" s="4" t="n">
        <f aca="false">$S$17+$S$18</f>
        <v>0.2325</v>
      </c>
      <c r="T419" s="4" t="n">
        <f aca="false">$T$17+$T$18</f>
        <v>0.2025</v>
      </c>
    </row>
    <row r="420" customFormat="false" ht="12.75" hidden="false" customHeight="false" outlineLevel="0" collapsed="false">
      <c r="D420" s="0" t="s">
        <v>18</v>
      </c>
      <c r="F420" s="4" t="n">
        <f aca="false">$F$17+$F$18</f>
        <v>0.2275</v>
      </c>
      <c r="G420" s="4" t="n">
        <f aca="false">$G$17+$G$18</f>
        <v>0.2275</v>
      </c>
      <c r="H420" s="4" t="n">
        <f aca="false">$H$17+$H$18</f>
        <v>0.1975</v>
      </c>
      <c r="I420" s="4" t="n">
        <f aca="false">$I$17+$I$18</f>
        <v>0.1575</v>
      </c>
      <c r="J420" s="4" t="n">
        <f aca="false">$J$17+$J$18</f>
        <v>0.1175</v>
      </c>
      <c r="K420" s="4" t="n">
        <f aca="false">$K$17+$K$18</f>
        <v>0.1175</v>
      </c>
      <c r="L420" s="4" t="n">
        <f aca="false">$L$17+$L$18</f>
        <v>0.1175</v>
      </c>
      <c r="M420" s="4" t="n">
        <f aca="false">$M$17+$M$18</f>
        <v>0.1175</v>
      </c>
      <c r="N420" s="4" t="n">
        <f aca="false">$N$17+$N$18</f>
        <v>0.1175</v>
      </c>
      <c r="O420" s="4" t="n">
        <f aca="false">$O$17+$O$18</f>
        <v>0.1575</v>
      </c>
      <c r="P420" s="4" t="n">
        <f aca="false">$P$17+$P$18</f>
        <v>0.2025</v>
      </c>
      <c r="Q420" s="4" t="n">
        <f aca="false">$Q$17+$Q$18</f>
        <v>0.2125</v>
      </c>
      <c r="R420" s="4" t="n">
        <f aca="false">$R$17+$R$18</f>
        <v>0.2325</v>
      </c>
      <c r="S420" s="4" t="n">
        <f aca="false">$S$17+$S$18</f>
        <v>0.2325</v>
      </c>
      <c r="T420" s="4" t="n">
        <f aca="false">$T$17+$T$18</f>
        <v>0.2025</v>
      </c>
    </row>
    <row r="421" customFormat="false" ht="12.75" hidden="false" customHeight="false" outlineLevel="0" collapsed="false"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</row>
    <row r="422" customFormat="false" ht="12.75" hidden="true" customHeight="false" outlineLevel="0" collapsed="false">
      <c r="C422" s="0" t="s">
        <v>19</v>
      </c>
      <c r="F422" s="10" t="n">
        <v>256158</v>
      </c>
      <c r="G422" s="10" t="n">
        <v>234049</v>
      </c>
      <c r="H422" s="10" t="n">
        <v>235688</v>
      </c>
      <c r="I422" s="10" t="n">
        <v>161685</v>
      </c>
      <c r="J422" s="10" t="n">
        <v>153927</v>
      </c>
      <c r="K422" s="10" t="n">
        <v>106834</v>
      </c>
      <c r="L422" s="10" t="n">
        <v>46942</v>
      </c>
      <c r="M422" s="10" t="n">
        <v>52374</v>
      </c>
      <c r="N422" s="10" t="n">
        <v>51373</v>
      </c>
      <c r="O422" s="10" t="n">
        <v>51314</v>
      </c>
      <c r="P422" s="10" t="n">
        <v>17488</v>
      </c>
      <c r="Q422" s="10" t="n">
        <v>12214</v>
      </c>
      <c r="R422" s="10" t="n">
        <v>12307</v>
      </c>
      <c r="S422" s="10" t="n">
        <v>10808</v>
      </c>
      <c r="T422" s="10" t="n">
        <v>12803</v>
      </c>
      <c r="U422" s="6"/>
      <c r="V422" s="6"/>
      <c r="W422" s="6"/>
      <c r="X422" s="6"/>
    </row>
    <row r="423" customFormat="false" ht="12.75" hidden="false" customHeight="false" outlineLevel="0" collapsed="false">
      <c r="A423" s="8"/>
      <c r="B423" s="8"/>
      <c r="C423" s="0" t="s">
        <v>19</v>
      </c>
      <c r="D423" s="8"/>
      <c r="E423" s="8"/>
      <c r="F423" s="10" t="n">
        <f aca="false">F422/31</f>
        <v>8263.16129032258</v>
      </c>
      <c r="G423" s="10" t="n">
        <f aca="false">G422/29</f>
        <v>8070.65517241379</v>
      </c>
      <c r="H423" s="10" t="n">
        <f aca="false">H422/31</f>
        <v>7602.83870967742</v>
      </c>
      <c r="I423" s="10" t="n">
        <f aca="false">I422/30</f>
        <v>5389.5</v>
      </c>
      <c r="J423" s="10" t="n">
        <f aca="false">J422/31</f>
        <v>4965.38709677419</v>
      </c>
      <c r="K423" s="10" t="n">
        <f aca="false">K422/30</f>
        <v>3561.13333333333</v>
      </c>
      <c r="L423" s="10" t="n">
        <f aca="false">L422/31</f>
        <v>1514.25806451613</v>
      </c>
      <c r="M423" s="10" t="n">
        <f aca="false">M422/31</f>
        <v>1689.48387096774</v>
      </c>
      <c r="N423" s="10" t="n">
        <f aca="false">N422/30</f>
        <v>1712.43333333333</v>
      </c>
      <c r="O423" s="10" t="n">
        <f aca="false">O422/31</f>
        <v>1655.29032258065</v>
      </c>
      <c r="P423" s="10" t="n">
        <f aca="false">P422/30</f>
        <v>582.933333333333</v>
      </c>
      <c r="Q423" s="10" t="n">
        <f aca="false">Q422/31</f>
        <v>394</v>
      </c>
      <c r="R423" s="10" t="n">
        <f aca="false">R422/31</f>
        <v>397</v>
      </c>
      <c r="S423" s="10" t="n">
        <f aca="false">S422/28</f>
        <v>386</v>
      </c>
      <c r="T423" s="10" t="n">
        <f aca="false">T422/31</f>
        <v>413</v>
      </c>
      <c r="U423" s="6"/>
      <c r="V423" s="6"/>
      <c r="W423" s="6"/>
      <c r="X423" s="6"/>
    </row>
    <row r="424" customFormat="false" ht="12.75" hidden="false" customHeight="false" outlineLevel="0" collapsed="false">
      <c r="C424" s="0" t="s">
        <v>20</v>
      </c>
      <c r="F424" s="6" t="n">
        <v>0</v>
      </c>
      <c r="G424" s="6" t="n">
        <v>0</v>
      </c>
      <c r="H424" s="6" t="n">
        <v>0</v>
      </c>
      <c r="I424" s="6" t="n">
        <v>0</v>
      </c>
      <c r="J424" s="6" t="n">
        <v>0</v>
      </c>
      <c r="K424" s="6" t="n">
        <v>0</v>
      </c>
      <c r="L424" s="6" t="n">
        <v>0</v>
      </c>
      <c r="M424" s="6" t="n">
        <v>0</v>
      </c>
      <c r="N424" s="6" t="n">
        <v>0</v>
      </c>
      <c r="O424" s="6" t="n">
        <v>0</v>
      </c>
      <c r="P424" s="6" t="n">
        <v>0</v>
      </c>
      <c r="Q424" s="6" t="n">
        <v>0</v>
      </c>
      <c r="R424" s="6" t="n">
        <v>0</v>
      </c>
      <c r="S424" s="6" t="n">
        <v>0</v>
      </c>
      <c r="T424" s="6" t="n">
        <v>0</v>
      </c>
      <c r="U424" s="6"/>
      <c r="V424" s="6"/>
      <c r="W424" s="6"/>
      <c r="X424" s="6"/>
    </row>
    <row r="425" customFormat="false" ht="12.75" hidden="true" customHeight="false" outlineLevel="0" collapsed="false">
      <c r="C425" s="0" t="s">
        <v>21</v>
      </c>
      <c r="F425" s="10" t="n">
        <v>66678</v>
      </c>
      <c r="G425" s="10" t="n">
        <v>55419</v>
      </c>
      <c r="H425" s="10" t="n">
        <v>47971</v>
      </c>
      <c r="I425" s="10" t="n">
        <v>31127</v>
      </c>
      <c r="J425" s="10" t="n">
        <v>20039</v>
      </c>
      <c r="K425" s="10" t="n">
        <v>13200</v>
      </c>
      <c r="L425" s="10" t="n">
        <v>11938</v>
      </c>
      <c r="M425" s="10" t="n">
        <v>12146</v>
      </c>
      <c r="N425" s="10" t="n">
        <v>14493</v>
      </c>
      <c r="O425" s="10" t="n">
        <v>26251</v>
      </c>
      <c r="P425" s="10" t="n">
        <v>1103</v>
      </c>
      <c r="Q425" s="10" t="n">
        <v>1533</v>
      </c>
      <c r="R425" s="10" t="n">
        <v>1743</v>
      </c>
      <c r="S425" s="10" t="n">
        <v>1481</v>
      </c>
      <c r="T425" s="10" t="n">
        <v>1260</v>
      </c>
      <c r="U425" s="6"/>
      <c r="V425" s="6"/>
      <c r="W425" s="6"/>
      <c r="X425" s="6"/>
    </row>
    <row r="426" customFormat="false" ht="12.75" hidden="false" customHeight="false" outlineLevel="0" collapsed="false">
      <c r="A426" s="8"/>
      <c r="B426" s="8"/>
      <c r="C426" s="0" t="s">
        <v>21</v>
      </c>
      <c r="D426" s="8"/>
      <c r="E426" s="8"/>
      <c r="F426" s="10" t="n">
        <f aca="false">F425/31</f>
        <v>2150.90322580645</v>
      </c>
      <c r="G426" s="10" t="n">
        <v>1968</v>
      </c>
      <c r="H426" s="10" t="n">
        <f aca="false">H425/31</f>
        <v>1547.45161290323</v>
      </c>
      <c r="I426" s="10" t="n">
        <f aca="false">I425/30</f>
        <v>1037.56666666667</v>
      </c>
      <c r="J426" s="10" t="n">
        <f aca="false">J425/31</f>
        <v>646.41935483871</v>
      </c>
      <c r="K426" s="10" t="n">
        <f aca="false">K425/30</f>
        <v>440</v>
      </c>
      <c r="L426" s="10" t="n">
        <f aca="false">L425/31</f>
        <v>385.096774193548</v>
      </c>
      <c r="M426" s="10" t="n">
        <f aca="false">M425/31</f>
        <v>391.806451612903</v>
      </c>
      <c r="N426" s="10" t="n">
        <f aca="false">N425/30</f>
        <v>483.1</v>
      </c>
      <c r="O426" s="10" t="n">
        <f aca="false">O425/31</f>
        <v>846.806451612903</v>
      </c>
      <c r="P426" s="10" t="n">
        <f aca="false">P425/30</f>
        <v>36.7666666666667</v>
      </c>
      <c r="Q426" s="10" t="n">
        <f aca="false">Q425/31</f>
        <v>49.4516129032258</v>
      </c>
      <c r="R426" s="10" t="n">
        <f aca="false">R425/31</f>
        <v>56.2258064516129</v>
      </c>
      <c r="S426" s="10" t="n">
        <f aca="false">S425/28</f>
        <v>52.8928571428571</v>
      </c>
      <c r="T426" s="10" t="n">
        <f aca="false">T425/31</f>
        <v>40.6451612903226</v>
      </c>
      <c r="U426" s="6"/>
      <c r="V426" s="6"/>
      <c r="W426" s="6"/>
      <c r="X426" s="6"/>
    </row>
    <row r="427" customFormat="false" ht="12.75" hidden="false" customHeight="false" outlineLevel="0" collapsed="false">
      <c r="C427" s="0" t="s">
        <v>20</v>
      </c>
      <c r="F427" s="6" t="n">
        <v>5000</v>
      </c>
      <c r="G427" s="6" t="n">
        <v>5000</v>
      </c>
      <c r="H427" s="6" t="n">
        <v>5000</v>
      </c>
      <c r="I427" s="6" t="n">
        <v>5000</v>
      </c>
      <c r="J427" s="6" t="n">
        <v>5000</v>
      </c>
      <c r="K427" s="6" t="n">
        <v>5000</v>
      </c>
      <c r="L427" s="6" t="n">
        <v>5000</v>
      </c>
      <c r="M427" s="6" t="n">
        <v>5000</v>
      </c>
      <c r="N427" s="6" t="n">
        <v>5000</v>
      </c>
      <c r="O427" s="6" t="n">
        <v>5000</v>
      </c>
      <c r="P427" s="6" t="n">
        <v>5000</v>
      </c>
      <c r="Q427" s="6" t="n">
        <v>5000</v>
      </c>
      <c r="R427" s="6" t="n">
        <v>5000</v>
      </c>
      <c r="S427" s="6" t="n">
        <v>5000</v>
      </c>
      <c r="T427" s="6" t="n">
        <v>5000</v>
      </c>
      <c r="U427" s="6"/>
      <c r="V427" s="6"/>
      <c r="W427" s="6"/>
      <c r="X427" s="6"/>
    </row>
    <row r="428" customFormat="false" ht="12.75" hidden="false" customHeight="false" outlineLevel="0" collapsed="false">
      <c r="C428" s="0" t="s">
        <v>22</v>
      </c>
      <c r="F428" s="4" t="s">
        <v>99</v>
      </c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customFormat="false" ht="12.75" hidden="false" customHeight="false" outlineLevel="0" collapsed="false"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 customFormat="false" ht="12.75" hidden="false" customHeight="false" outlineLevel="0" collapsed="false">
      <c r="B430" s="1" t="s">
        <v>97</v>
      </c>
      <c r="C430" s="1" t="s">
        <v>100</v>
      </c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 customFormat="false" ht="12.75" hidden="false" customHeight="false" outlineLevel="0" collapsed="false">
      <c r="D431" s="0" t="s">
        <v>17</v>
      </c>
      <c r="F431" s="4" t="n">
        <f aca="false">$F$17+$F$18</f>
        <v>0.2275</v>
      </c>
      <c r="G431" s="4" t="n">
        <f aca="false">$G$17+$G$18</f>
        <v>0.2275</v>
      </c>
      <c r="H431" s="4" t="n">
        <f aca="false">$H$17+$H$18</f>
        <v>0.1975</v>
      </c>
      <c r="I431" s="4" t="n">
        <f aca="false">$I$17+$I$18</f>
        <v>0.1575</v>
      </c>
      <c r="J431" s="4" t="n">
        <f aca="false">$J$17+$J$18</f>
        <v>0.1175</v>
      </c>
      <c r="K431" s="4" t="n">
        <f aca="false">$K$17+$K$18</f>
        <v>0.1175</v>
      </c>
      <c r="L431" s="4" t="n">
        <f aca="false">$L$17+$L$18</f>
        <v>0.1175</v>
      </c>
      <c r="M431" s="4" t="n">
        <f aca="false">$M$17+$M$18</f>
        <v>0.1175</v>
      </c>
      <c r="N431" s="4" t="n">
        <f aca="false">$N$17+$N$18</f>
        <v>0.1175</v>
      </c>
      <c r="O431" s="4" t="n">
        <f aca="false">$O$17+$O$18</f>
        <v>0.1575</v>
      </c>
      <c r="P431" s="4" t="n">
        <f aca="false">$P$17+$P$18</f>
        <v>0.2025</v>
      </c>
      <c r="Q431" s="4" t="n">
        <f aca="false">$Q$17+$Q$18</f>
        <v>0.2125</v>
      </c>
      <c r="R431" s="4" t="n">
        <f aca="false">$R$17+$R$18</f>
        <v>0.2325</v>
      </c>
      <c r="S431" s="4" t="n">
        <f aca="false">$S$17+$S$18</f>
        <v>0.2325</v>
      </c>
      <c r="T431" s="4" t="n">
        <f aca="false">$T$17+$T$18</f>
        <v>0.2025</v>
      </c>
    </row>
    <row r="432" customFormat="false" ht="12.75" hidden="false" customHeight="false" outlineLevel="0" collapsed="false">
      <c r="D432" s="0" t="s">
        <v>18</v>
      </c>
      <c r="F432" s="4" t="n">
        <f aca="false">$F$17+$F$18</f>
        <v>0.2275</v>
      </c>
      <c r="G432" s="4" t="n">
        <f aca="false">$G$17+$G$18</f>
        <v>0.2275</v>
      </c>
      <c r="H432" s="4" t="n">
        <f aca="false">$H$17+$H$18</f>
        <v>0.1975</v>
      </c>
      <c r="I432" s="4" t="n">
        <f aca="false">$I$17+$I$18</f>
        <v>0.1575</v>
      </c>
      <c r="J432" s="4" t="n">
        <f aca="false">$J$17+$J$18</f>
        <v>0.1175</v>
      </c>
      <c r="K432" s="4" t="n">
        <f aca="false">$K$17+$K$18</f>
        <v>0.1175</v>
      </c>
      <c r="L432" s="4" t="n">
        <f aca="false">$L$17+$L$18</f>
        <v>0.1175</v>
      </c>
      <c r="M432" s="4" t="n">
        <f aca="false">$M$17+$M$18</f>
        <v>0.1175</v>
      </c>
      <c r="N432" s="4" t="n">
        <f aca="false">$N$17+$N$18</f>
        <v>0.1175</v>
      </c>
      <c r="O432" s="4" t="n">
        <f aca="false">$O$17+$O$18</f>
        <v>0.1575</v>
      </c>
      <c r="P432" s="4" t="n">
        <f aca="false">$P$17+$P$18</f>
        <v>0.2025</v>
      </c>
      <c r="Q432" s="4" t="n">
        <f aca="false">$Q$17+$Q$18</f>
        <v>0.2125</v>
      </c>
      <c r="R432" s="4" t="n">
        <f aca="false">$R$17+$R$18</f>
        <v>0.2325</v>
      </c>
      <c r="S432" s="4" t="n">
        <f aca="false">$S$17+$S$18</f>
        <v>0.2325</v>
      </c>
      <c r="T432" s="4" t="n">
        <f aca="false">$T$17+$T$18</f>
        <v>0.2025</v>
      </c>
    </row>
    <row r="433" customFormat="false" ht="12.75" hidden="false" customHeight="false" outlineLevel="0" collapsed="false"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customFormat="false" ht="12.75" hidden="true" customHeight="false" outlineLevel="0" collapsed="false">
      <c r="C434" s="0" t="s">
        <v>19</v>
      </c>
      <c r="F434" s="10" t="n">
        <v>36005</v>
      </c>
      <c r="G434" s="10" t="n">
        <v>32181</v>
      </c>
      <c r="H434" s="10" t="n">
        <v>25513</v>
      </c>
      <c r="I434" s="10" t="n">
        <v>12533</v>
      </c>
      <c r="J434" s="10" t="n">
        <v>11274</v>
      </c>
      <c r="K434" s="10" t="n">
        <v>9816</v>
      </c>
      <c r="L434" s="10" t="n">
        <v>9150</v>
      </c>
      <c r="M434" s="10" t="n">
        <v>9151</v>
      </c>
      <c r="N434" s="10" t="n">
        <v>8834</v>
      </c>
      <c r="O434" s="10" t="n">
        <v>9880</v>
      </c>
      <c r="P434" s="10" t="n">
        <v>1610</v>
      </c>
      <c r="Q434" s="10" t="n">
        <v>2840</v>
      </c>
      <c r="R434" s="10" t="n">
        <v>3127</v>
      </c>
      <c r="S434" s="10" t="n">
        <v>3200</v>
      </c>
      <c r="T434" s="10" t="n">
        <v>3400</v>
      </c>
      <c r="U434" s="6"/>
      <c r="V434" s="6"/>
      <c r="W434" s="6"/>
      <c r="X434" s="6"/>
      <c r="Y434" s="6"/>
      <c r="Z434" s="6"/>
      <c r="AA434" s="6"/>
    </row>
    <row r="435" customFormat="false" ht="12.75" hidden="false" customHeight="false" outlineLevel="0" collapsed="false">
      <c r="A435" s="8"/>
      <c r="B435" s="8"/>
      <c r="C435" s="0" t="s">
        <v>19</v>
      </c>
      <c r="D435" s="8"/>
      <c r="E435" s="8"/>
      <c r="F435" s="10" t="n">
        <f aca="false">F434/31</f>
        <v>1161.45161290323</v>
      </c>
      <c r="G435" s="10" t="n">
        <f aca="false">G434/29</f>
        <v>1109.68965517241</v>
      </c>
      <c r="H435" s="10" t="n">
        <f aca="false">H434/31</f>
        <v>823</v>
      </c>
      <c r="I435" s="10" t="n">
        <f aca="false">I434/30</f>
        <v>417.766666666667</v>
      </c>
      <c r="J435" s="10" t="n">
        <f aca="false">J434/31</f>
        <v>363.677419354839</v>
      </c>
      <c r="K435" s="10" t="n">
        <f aca="false">K434/30</f>
        <v>327.2</v>
      </c>
      <c r="L435" s="10" t="n">
        <f aca="false">L434/31</f>
        <v>295.161290322581</v>
      </c>
      <c r="M435" s="10" t="n">
        <f aca="false">M434/31</f>
        <v>295.193548387097</v>
      </c>
      <c r="N435" s="10" t="n">
        <f aca="false">N434/30</f>
        <v>294.466666666667</v>
      </c>
      <c r="O435" s="10" t="n">
        <f aca="false">O434/31</f>
        <v>318.709677419355</v>
      </c>
      <c r="P435" s="10" t="n">
        <f aca="false">P434/30</f>
        <v>53.6666666666667</v>
      </c>
      <c r="Q435" s="10" t="n">
        <f aca="false">Q434/31</f>
        <v>91.6129032258065</v>
      </c>
      <c r="R435" s="10" t="n">
        <f aca="false">R434/31</f>
        <v>100.870967741935</v>
      </c>
      <c r="S435" s="10" t="n">
        <f aca="false">S434/28</f>
        <v>114.285714285714</v>
      </c>
      <c r="T435" s="10" t="n">
        <f aca="false">T434/31</f>
        <v>109.677419354839</v>
      </c>
      <c r="U435" s="6"/>
      <c r="V435" s="6"/>
      <c r="W435" s="6"/>
      <c r="X435" s="6"/>
      <c r="Y435" s="6"/>
      <c r="Z435" s="6"/>
      <c r="AA435" s="6"/>
    </row>
    <row r="436" customFormat="false" ht="12.75" hidden="false" customHeight="false" outlineLevel="0" collapsed="false">
      <c r="C436" s="0" t="s">
        <v>20</v>
      </c>
      <c r="F436" s="6" t="n">
        <v>0</v>
      </c>
      <c r="G436" s="6" t="n">
        <v>0</v>
      </c>
      <c r="H436" s="6" t="n">
        <v>0</v>
      </c>
      <c r="I436" s="6" t="n">
        <v>0</v>
      </c>
      <c r="J436" s="6" t="n">
        <v>0</v>
      </c>
      <c r="K436" s="6" t="n">
        <v>0</v>
      </c>
      <c r="L436" s="6" t="n">
        <v>0</v>
      </c>
      <c r="M436" s="6" t="n">
        <v>0</v>
      </c>
      <c r="N436" s="6" t="n">
        <v>0</v>
      </c>
      <c r="O436" s="6" t="n">
        <v>0</v>
      </c>
      <c r="P436" s="6" t="n">
        <v>0</v>
      </c>
      <c r="Q436" s="6" t="n">
        <v>0</v>
      </c>
      <c r="R436" s="6" t="n">
        <v>0</v>
      </c>
      <c r="S436" s="6" t="n">
        <v>0</v>
      </c>
      <c r="T436" s="6" t="n">
        <v>0</v>
      </c>
      <c r="U436" s="6"/>
      <c r="V436" s="6"/>
      <c r="W436" s="6"/>
      <c r="X436" s="6"/>
      <c r="Y436" s="6"/>
      <c r="Z436" s="6"/>
      <c r="AA436" s="6"/>
    </row>
    <row r="437" customFormat="false" ht="12.75" hidden="true" customHeight="false" outlineLevel="0" collapsed="false">
      <c r="C437" s="0" t="s">
        <v>21</v>
      </c>
      <c r="F437" s="10" t="n">
        <f aca="false">34861+10332+37306</f>
        <v>82499</v>
      </c>
      <c r="G437" s="10" t="n">
        <f aca="false">34360+10295+33549</f>
        <v>78204</v>
      </c>
      <c r="H437" s="10" t="n">
        <f aca="false">29790+10258+25569</f>
        <v>65617</v>
      </c>
      <c r="I437" s="10" t="n">
        <f aca="false">25328+10220+20625</f>
        <v>56173</v>
      </c>
      <c r="J437" s="10" t="n">
        <f aca="false">23319+10183+21237</f>
        <v>54739</v>
      </c>
      <c r="K437" s="10" t="n">
        <f aca="false">15437+10145+20447</f>
        <v>46029</v>
      </c>
      <c r="L437" s="10" t="n">
        <f aca="false">14732+10108+21052</f>
        <v>45892</v>
      </c>
      <c r="M437" s="10" t="n">
        <f aca="false">14614+10071+20960</f>
        <v>45645</v>
      </c>
      <c r="N437" s="10" t="n">
        <f aca="false">14496+6222+20205</f>
        <v>40923</v>
      </c>
      <c r="O437" s="10" t="n">
        <f aca="false">14378+3940+20776</f>
        <v>39094</v>
      </c>
      <c r="P437" s="10" t="n">
        <f aca="false">14261+1976+20002</f>
        <v>36239</v>
      </c>
      <c r="Q437" s="10" t="n">
        <f aca="false">13472+1084+20592</f>
        <v>35148</v>
      </c>
      <c r="R437" s="10" t="n">
        <f aca="false">13095+457+20062</f>
        <v>33614</v>
      </c>
      <c r="S437" s="10" t="n">
        <f aca="false">6766+274+17527</f>
        <v>24567</v>
      </c>
      <c r="T437" s="10" t="n">
        <f aca="false">6468+65+4754</f>
        <v>11287</v>
      </c>
      <c r="U437" s="6"/>
      <c r="V437" s="6"/>
      <c r="W437" s="6"/>
      <c r="X437" s="6"/>
      <c r="Y437" s="6"/>
      <c r="Z437" s="6"/>
      <c r="AA437" s="6"/>
    </row>
    <row r="438" customFormat="false" ht="12.75" hidden="false" customHeight="false" outlineLevel="0" collapsed="false">
      <c r="A438" s="8"/>
      <c r="B438" s="8"/>
      <c r="C438" s="0" t="s">
        <v>21</v>
      </c>
      <c r="D438" s="8"/>
      <c r="E438" s="8"/>
      <c r="F438" s="10" t="n">
        <f aca="false">F437/31</f>
        <v>2661.25806451613</v>
      </c>
      <c r="G438" s="10" t="n">
        <v>2778</v>
      </c>
      <c r="H438" s="10" t="n">
        <f aca="false">H437/31</f>
        <v>2116.67741935484</v>
      </c>
      <c r="I438" s="10" t="n">
        <f aca="false">I437/30</f>
        <v>1872.43333333333</v>
      </c>
      <c r="J438" s="10" t="n">
        <f aca="false">J437/31</f>
        <v>1765.77419354839</v>
      </c>
      <c r="K438" s="10" t="n">
        <f aca="false">K437/30</f>
        <v>1534.3</v>
      </c>
      <c r="L438" s="10" t="n">
        <f aca="false">L437/31</f>
        <v>1480.38709677419</v>
      </c>
      <c r="M438" s="10" t="n">
        <f aca="false">M437/31</f>
        <v>1472.41935483871</v>
      </c>
      <c r="N438" s="10" t="n">
        <f aca="false">N437/30</f>
        <v>1364.1</v>
      </c>
      <c r="O438" s="10" t="n">
        <f aca="false">O437/31</f>
        <v>1261.09677419355</v>
      </c>
      <c r="P438" s="10" t="n">
        <f aca="false">P437/30</f>
        <v>1207.96666666667</v>
      </c>
      <c r="Q438" s="10" t="n">
        <f aca="false">Q437/31</f>
        <v>1133.8064516129</v>
      </c>
      <c r="R438" s="10" t="n">
        <f aca="false">R437/31</f>
        <v>1084.32258064516</v>
      </c>
      <c r="S438" s="10" t="n">
        <f aca="false">S437/28</f>
        <v>877.392857142857</v>
      </c>
      <c r="T438" s="10" t="n">
        <f aca="false">T437/31</f>
        <v>364.096774193548</v>
      </c>
      <c r="U438" s="6"/>
      <c r="V438" s="6"/>
      <c r="W438" s="6"/>
      <c r="X438" s="6"/>
      <c r="Y438" s="6"/>
      <c r="Z438" s="6"/>
      <c r="AA438" s="6"/>
    </row>
    <row r="439" customFormat="false" ht="12.75" hidden="false" customHeight="false" outlineLevel="0" collapsed="false">
      <c r="C439" s="0" t="s">
        <v>20</v>
      </c>
      <c r="F439" s="6" t="n">
        <v>1306</v>
      </c>
      <c r="G439" s="6" t="n">
        <v>1306</v>
      </c>
      <c r="H439" s="6" t="n">
        <v>1306</v>
      </c>
      <c r="I439" s="6" t="n">
        <v>1298</v>
      </c>
      <c r="J439" s="6" t="n">
        <v>962</v>
      </c>
      <c r="K439" s="6" t="n">
        <v>962</v>
      </c>
      <c r="L439" s="6" t="n">
        <v>51</v>
      </c>
      <c r="M439" s="6" t="n">
        <v>0</v>
      </c>
      <c r="N439" s="6" t="n">
        <v>0</v>
      </c>
      <c r="O439" s="6" t="n">
        <v>0</v>
      </c>
      <c r="P439" s="6" t="n">
        <v>0</v>
      </c>
      <c r="Q439" s="6" t="n">
        <v>0</v>
      </c>
      <c r="R439" s="6" t="n">
        <v>0</v>
      </c>
      <c r="S439" s="6" t="n">
        <v>0</v>
      </c>
      <c r="T439" s="6" t="n">
        <v>0</v>
      </c>
      <c r="U439" s="6"/>
      <c r="V439" s="6"/>
      <c r="W439" s="6"/>
      <c r="X439" s="6"/>
      <c r="Y439" s="6"/>
      <c r="Z439" s="6"/>
      <c r="AA439" s="6"/>
    </row>
    <row r="440" customFormat="false" ht="12.75" hidden="false" customHeight="false" outlineLevel="0" collapsed="false">
      <c r="C440" s="0" t="s">
        <v>22</v>
      </c>
      <c r="F440" s="4" t="s">
        <v>101</v>
      </c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 customFormat="false" ht="12.75" hidden="false" customHeight="false" outlineLevel="0" collapsed="false"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 customFormat="false" ht="12.75" hidden="false" customHeight="false" outlineLevel="0" collapsed="false">
      <c r="B442" s="1" t="s">
        <v>97</v>
      </c>
      <c r="C442" s="1" t="s">
        <v>102</v>
      </c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 customFormat="false" ht="12.75" hidden="false" customHeight="false" outlineLevel="0" collapsed="false">
      <c r="D443" s="0" t="s">
        <v>17</v>
      </c>
      <c r="F443" s="4" t="n">
        <f aca="false">$F$17+$F$18</f>
        <v>0.2275</v>
      </c>
      <c r="G443" s="4" t="n">
        <f aca="false">$G$17+$G$18</f>
        <v>0.2275</v>
      </c>
      <c r="H443" s="4" t="n">
        <f aca="false">$H$17+$H$18</f>
        <v>0.1975</v>
      </c>
      <c r="I443" s="4" t="n">
        <f aca="false">$I$17+$I$18</f>
        <v>0.1575</v>
      </c>
      <c r="J443" s="4" t="n">
        <f aca="false">$J$17+$J$18</f>
        <v>0.1175</v>
      </c>
      <c r="K443" s="4" t="n">
        <f aca="false">$K$17+$K$18</f>
        <v>0.1175</v>
      </c>
      <c r="L443" s="4" t="n">
        <f aca="false">$L$17+$L$18</f>
        <v>0.1175</v>
      </c>
      <c r="M443" s="4" t="n">
        <f aca="false">$M$17+$M$18</f>
        <v>0.1175</v>
      </c>
      <c r="N443" s="4" t="n">
        <f aca="false">$N$17+$N$18</f>
        <v>0.1175</v>
      </c>
      <c r="O443" s="4" t="n">
        <f aca="false">$O$17+$O$18</f>
        <v>0.1575</v>
      </c>
      <c r="P443" s="4" t="n">
        <f aca="false">$P$17+$P$18</f>
        <v>0.2025</v>
      </c>
      <c r="Q443" s="4" t="n">
        <f aca="false">$Q$17+$Q$18</f>
        <v>0.2125</v>
      </c>
      <c r="R443" s="4" t="n">
        <f aca="false">$R$17+$R$18</f>
        <v>0.2325</v>
      </c>
      <c r="S443" s="4" t="n">
        <f aca="false">$S$17+$S$18</f>
        <v>0.2325</v>
      </c>
      <c r="T443" s="4" t="n">
        <f aca="false">$T$17+$T$18</f>
        <v>0.2025</v>
      </c>
    </row>
    <row r="444" customFormat="false" ht="12.75" hidden="false" customHeight="false" outlineLevel="0" collapsed="false">
      <c r="D444" s="0" t="s">
        <v>18</v>
      </c>
      <c r="F444" s="4" t="n">
        <f aca="false">$F$17+$F$18</f>
        <v>0.2275</v>
      </c>
      <c r="G444" s="4" t="n">
        <f aca="false">$G$17+$G$18</f>
        <v>0.2275</v>
      </c>
      <c r="H444" s="4" t="n">
        <f aca="false">$H$17+$H$18</f>
        <v>0.1975</v>
      </c>
      <c r="I444" s="4" t="n">
        <f aca="false">$I$17+$I$18</f>
        <v>0.1575</v>
      </c>
      <c r="J444" s="4" t="n">
        <f aca="false">$J$17+$J$18</f>
        <v>0.1175</v>
      </c>
      <c r="K444" s="4" t="n">
        <f aca="false">$K$17+$K$18</f>
        <v>0.1175</v>
      </c>
      <c r="L444" s="4" t="n">
        <f aca="false">$L$17+$L$18</f>
        <v>0.1175</v>
      </c>
      <c r="M444" s="4" t="n">
        <f aca="false">$M$17+$M$18</f>
        <v>0.1175</v>
      </c>
      <c r="N444" s="4" t="n">
        <f aca="false">$N$17+$N$18</f>
        <v>0.1175</v>
      </c>
      <c r="O444" s="4" t="n">
        <f aca="false">$O$17+$O$18</f>
        <v>0.1575</v>
      </c>
      <c r="P444" s="4" t="n">
        <f aca="false">$P$17+$P$18</f>
        <v>0.2025</v>
      </c>
      <c r="Q444" s="4" t="n">
        <f aca="false">$Q$17+$Q$18</f>
        <v>0.2125</v>
      </c>
      <c r="R444" s="4" t="n">
        <f aca="false">$R$17+$R$18</f>
        <v>0.2325</v>
      </c>
      <c r="S444" s="4" t="n">
        <f aca="false">$S$17+$S$18</f>
        <v>0.2325</v>
      </c>
      <c r="T444" s="4" t="n">
        <f aca="false">$T$17+$T$18</f>
        <v>0.2025</v>
      </c>
    </row>
    <row r="445" customFormat="false" ht="12.75" hidden="false" customHeight="false" outlineLevel="0" collapsed="false"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</row>
    <row r="446" customFormat="false" ht="12.75" hidden="true" customHeight="false" outlineLevel="0" collapsed="false">
      <c r="C446" s="0" t="s">
        <v>19</v>
      </c>
      <c r="F446" s="10" t="n">
        <f aca="false">642740+15208</f>
        <v>657948</v>
      </c>
      <c r="G446" s="10" t="n">
        <f aca="false">601347+10926</f>
        <v>612273</v>
      </c>
      <c r="H446" s="10" t="n">
        <f aca="false">635796+13463</f>
        <v>649259</v>
      </c>
      <c r="I446" s="10" t="n">
        <f aca="false">5604+12441</f>
        <v>18045</v>
      </c>
      <c r="J446" s="10" t="n">
        <f aca="false">4203+11152</f>
        <v>15355</v>
      </c>
      <c r="K446" s="10" t="n">
        <f aca="false">3745+11187</f>
        <v>14932</v>
      </c>
      <c r="L446" s="10" t="n">
        <f aca="false">3714+10977</f>
        <v>14691</v>
      </c>
      <c r="M446" s="10" t="n">
        <f aca="false">3824+10846</f>
        <v>14670</v>
      </c>
      <c r="N446" s="10" t="n">
        <f aca="false">3700+10958</f>
        <v>14658</v>
      </c>
      <c r="O446" s="10" t="n">
        <f aca="false">3076+12079</f>
        <v>15155</v>
      </c>
      <c r="P446" s="10" t="n">
        <f aca="false">1643+11588</f>
        <v>13231</v>
      </c>
      <c r="Q446" s="10" t="n">
        <f aca="false">10740</f>
        <v>10740</v>
      </c>
      <c r="R446" s="10" t="n">
        <f aca="false">10769</f>
        <v>10769</v>
      </c>
      <c r="S446" s="10" t="n">
        <v>10713</v>
      </c>
      <c r="T446" s="10" t="n">
        <v>10432</v>
      </c>
      <c r="U446" s="6"/>
      <c r="V446" s="6"/>
      <c r="W446" s="6"/>
      <c r="X446" s="6"/>
    </row>
    <row r="447" customFormat="false" ht="12.75" hidden="false" customHeight="false" outlineLevel="0" collapsed="false">
      <c r="A447" s="8"/>
      <c r="B447" s="8"/>
      <c r="C447" s="0" t="s">
        <v>19</v>
      </c>
      <c r="D447" s="8"/>
      <c r="E447" s="8"/>
      <c r="F447" s="10" t="n">
        <f aca="false">F446/31</f>
        <v>21224.1290322581</v>
      </c>
      <c r="G447" s="10" t="n">
        <f aca="false">G446/29</f>
        <v>21112.8620689655</v>
      </c>
      <c r="H447" s="10" t="n">
        <f aca="false">H446/31</f>
        <v>20943.8387096774</v>
      </c>
      <c r="I447" s="10" t="n">
        <f aca="false">I446/30</f>
        <v>601.5</v>
      </c>
      <c r="J447" s="10" t="n">
        <f aca="false">J446/31</f>
        <v>495.322580645161</v>
      </c>
      <c r="K447" s="10" t="n">
        <f aca="false">K446/30</f>
        <v>497.733333333333</v>
      </c>
      <c r="L447" s="10" t="n">
        <f aca="false">L446/31</f>
        <v>473.903225806452</v>
      </c>
      <c r="M447" s="10" t="n">
        <f aca="false">M446/31</f>
        <v>473.225806451613</v>
      </c>
      <c r="N447" s="10" t="n">
        <f aca="false">N446/30</f>
        <v>488.6</v>
      </c>
      <c r="O447" s="10" t="n">
        <f aca="false">O446/31</f>
        <v>488.870967741936</v>
      </c>
      <c r="P447" s="10" t="n">
        <f aca="false">P446/30</f>
        <v>441.033333333333</v>
      </c>
      <c r="Q447" s="10" t="n">
        <f aca="false">Q446/31</f>
        <v>346.451612903226</v>
      </c>
      <c r="R447" s="10" t="n">
        <f aca="false">R446/31</f>
        <v>347.387096774194</v>
      </c>
      <c r="S447" s="10" t="n">
        <f aca="false">S446/28</f>
        <v>382.607142857143</v>
      </c>
      <c r="T447" s="10" t="n">
        <f aca="false">T446/31</f>
        <v>336.516129032258</v>
      </c>
      <c r="U447" s="6"/>
      <c r="V447" s="6"/>
      <c r="W447" s="6"/>
      <c r="X447" s="6"/>
    </row>
    <row r="448" customFormat="false" ht="12.75" hidden="false" customHeight="false" outlineLevel="0" collapsed="false">
      <c r="C448" s="0" t="s">
        <v>20</v>
      </c>
      <c r="F448" s="6" t="n">
        <v>0</v>
      </c>
      <c r="G448" s="6" t="n">
        <v>0</v>
      </c>
      <c r="H448" s="6" t="n">
        <v>0</v>
      </c>
      <c r="I448" s="6" t="n">
        <v>0</v>
      </c>
      <c r="J448" s="6" t="n">
        <v>0</v>
      </c>
      <c r="K448" s="6" t="n">
        <v>0</v>
      </c>
      <c r="L448" s="6" t="n">
        <v>0</v>
      </c>
      <c r="M448" s="6" t="n">
        <v>0</v>
      </c>
      <c r="N448" s="6" t="n">
        <v>0</v>
      </c>
      <c r="O448" s="6" t="n">
        <v>0</v>
      </c>
      <c r="P448" s="6" t="n">
        <v>0</v>
      </c>
      <c r="Q448" s="6" t="n">
        <v>0</v>
      </c>
      <c r="R448" s="6" t="n">
        <v>0</v>
      </c>
      <c r="S448" s="6" t="n">
        <v>0</v>
      </c>
      <c r="T448" s="6" t="n">
        <v>0</v>
      </c>
      <c r="U448" s="6"/>
      <c r="V448" s="6"/>
      <c r="W448" s="6"/>
      <c r="X448" s="6"/>
    </row>
    <row r="449" customFormat="false" ht="12.75" hidden="false" customHeight="false" outlineLevel="0" collapsed="false">
      <c r="C449" s="0" t="s">
        <v>21</v>
      </c>
      <c r="F449" s="6" t="n">
        <v>0</v>
      </c>
      <c r="G449" s="6" t="n">
        <v>0</v>
      </c>
      <c r="H449" s="6" t="n">
        <v>0</v>
      </c>
      <c r="I449" s="6" t="n">
        <v>0</v>
      </c>
      <c r="J449" s="6" t="n">
        <v>0</v>
      </c>
      <c r="K449" s="6" t="n">
        <v>0</v>
      </c>
      <c r="L449" s="6" t="n">
        <v>0</v>
      </c>
      <c r="M449" s="6" t="n">
        <v>0</v>
      </c>
      <c r="N449" s="6" t="n">
        <v>0</v>
      </c>
      <c r="O449" s="6" t="n">
        <v>0</v>
      </c>
      <c r="P449" s="6" t="n">
        <v>0</v>
      </c>
      <c r="Q449" s="6" t="n">
        <v>0</v>
      </c>
      <c r="R449" s="6" t="n">
        <v>0</v>
      </c>
      <c r="S449" s="6" t="n">
        <v>0</v>
      </c>
      <c r="T449" s="6" t="n">
        <v>0</v>
      </c>
      <c r="U449" s="6"/>
      <c r="V449" s="6"/>
      <c r="W449" s="6"/>
      <c r="X449" s="6"/>
    </row>
    <row r="450" customFormat="false" ht="12.75" hidden="false" customHeight="false" outlineLevel="0" collapsed="false">
      <c r="C450" s="0" t="s">
        <v>20</v>
      </c>
      <c r="F450" s="6" t="n">
        <v>0</v>
      </c>
      <c r="G450" s="6" t="n">
        <v>0</v>
      </c>
      <c r="H450" s="6" t="n">
        <v>0</v>
      </c>
      <c r="I450" s="6" t="n">
        <v>0</v>
      </c>
      <c r="J450" s="6" t="n">
        <v>0</v>
      </c>
      <c r="K450" s="6" t="n">
        <v>0</v>
      </c>
      <c r="L450" s="6" t="n">
        <v>0</v>
      </c>
      <c r="M450" s="6" t="n">
        <v>0</v>
      </c>
      <c r="N450" s="6" t="n">
        <v>0</v>
      </c>
      <c r="O450" s="6" t="n">
        <v>0</v>
      </c>
      <c r="P450" s="6" t="n">
        <v>0</v>
      </c>
      <c r="Q450" s="6" t="n">
        <v>0</v>
      </c>
      <c r="R450" s="6" t="n">
        <v>0</v>
      </c>
      <c r="S450" s="6" t="n">
        <v>0</v>
      </c>
      <c r="T450" s="6" t="n">
        <v>0</v>
      </c>
      <c r="U450" s="6"/>
      <c r="V450" s="6"/>
      <c r="W450" s="6"/>
      <c r="X450" s="6"/>
    </row>
    <row r="451" customFormat="false" ht="12.75" hidden="false" customHeight="false" outlineLevel="0" collapsed="false">
      <c r="C451" s="0" t="s">
        <v>22</v>
      </c>
      <c r="F451" s="4" t="s">
        <v>103</v>
      </c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 customFormat="false" ht="12.75" hidden="false" customHeight="false" outlineLevel="0" collapsed="false"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 customFormat="false" ht="12.75" hidden="false" customHeight="false" outlineLevel="0" collapsed="false"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 customFormat="false" ht="12.75" hidden="false" customHeight="false" outlineLevel="0" collapsed="false">
      <c r="A454" s="1" t="s">
        <v>104</v>
      </c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 customFormat="false" ht="12.75" hidden="false" customHeight="false" outlineLevel="0" collapsed="false">
      <c r="A455" s="1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 customFormat="false" ht="12.75" hidden="false" customHeight="false" outlineLevel="0" collapsed="false">
      <c r="A456" s="1"/>
      <c r="B456" s="1" t="s">
        <v>105</v>
      </c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 customFormat="false" ht="12.75" hidden="false" customHeight="false" outlineLevel="0" collapsed="false">
      <c r="A457" s="1"/>
      <c r="B457" s="1"/>
      <c r="D457" s="0" t="s">
        <v>106</v>
      </c>
      <c r="F457" s="4" t="n">
        <v>0.28</v>
      </c>
      <c r="G457" s="4" t="n">
        <v>0.28</v>
      </c>
      <c r="H457" s="4" t="n">
        <v>0.28</v>
      </c>
      <c r="I457" s="4" t="n">
        <v>0.13</v>
      </c>
      <c r="J457" s="4" t="n">
        <v>0.13</v>
      </c>
      <c r="K457" s="4" t="n">
        <v>0.13</v>
      </c>
      <c r="L457" s="4" t="n">
        <v>0.13</v>
      </c>
      <c r="M457" s="4" t="n">
        <v>0.13</v>
      </c>
      <c r="N457" s="4" t="n">
        <v>0.13</v>
      </c>
      <c r="O457" s="4" t="n">
        <v>0.13</v>
      </c>
      <c r="P457" s="4" t="n">
        <v>0.28</v>
      </c>
      <c r="Q457" s="4" t="n">
        <v>0.28</v>
      </c>
      <c r="R457" s="4" t="n">
        <v>0.28</v>
      </c>
      <c r="S457" s="4" t="n">
        <v>0.28</v>
      </c>
      <c r="T457" s="4" t="n">
        <v>0.28</v>
      </c>
    </row>
    <row r="458" customFormat="false" ht="12.75" hidden="false" customHeight="false" outlineLevel="0" collapsed="false">
      <c r="A458" s="1"/>
      <c r="B458" s="1"/>
      <c r="D458" s="0" t="s">
        <v>107</v>
      </c>
      <c r="F458" s="4" t="n">
        <v>0.21</v>
      </c>
      <c r="G458" s="4" t="n">
        <v>0.21</v>
      </c>
      <c r="H458" s="4" t="n">
        <v>0.21</v>
      </c>
      <c r="I458" s="4" t="n">
        <v>0.11</v>
      </c>
      <c r="J458" s="4" t="n">
        <v>0.11</v>
      </c>
      <c r="K458" s="4" t="n">
        <v>0.11</v>
      </c>
      <c r="L458" s="4" t="n">
        <v>0.11</v>
      </c>
      <c r="M458" s="4" t="n">
        <v>0.11</v>
      </c>
      <c r="N458" s="4" t="n">
        <v>0.11</v>
      </c>
      <c r="O458" s="4" t="n">
        <v>0.11</v>
      </c>
      <c r="P458" s="4" t="n">
        <v>0.21</v>
      </c>
      <c r="Q458" s="4" t="n">
        <v>0.21</v>
      </c>
      <c r="R458" s="4" t="n">
        <v>0.21</v>
      </c>
      <c r="S458" s="4" t="n">
        <v>0.21</v>
      </c>
      <c r="T458" s="4" t="n">
        <v>0.21</v>
      </c>
    </row>
    <row r="459" customFormat="false" ht="12.75" hidden="false" customHeight="false" outlineLevel="0" collapsed="false">
      <c r="A459" s="1"/>
      <c r="B459" s="1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</row>
    <row r="460" customFormat="false" ht="12.75" hidden="true" customHeight="false" outlineLevel="0" collapsed="false">
      <c r="A460" s="1"/>
      <c r="B460" s="1"/>
      <c r="C460" s="0" t="s">
        <v>19</v>
      </c>
      <c r="F460" s="10" t="n">
        <f aca="false">1324+54449+54410</f>
        <v>110183</v>
      </c>
      <c r="G460" s="10" t="n">
        <f aca="false">1148+54561+49295</f>
        <v>105004</v>
      </c>
      <c r="H460" s="10" t="n">
        <f aca="false">1243+52973+46052</f>
        <v>100268</v>
      </c>
      <c r="I460" s="10" t="n">
        <f aca="false">1187+40496+34995</f>
        <v>76678</v>
      </c>
      <c r="J460" s="10" t="n">
        <f aca="false">775+32204+30925</f>
        <v>63904</v>
      </c>
      <c r="K460" s="10" t="n">
        <f aca="false">27189+27478</f>
        <v>54667</v>
      </c>
      <c r="L460" s="10" t="n">
        <f aca="false">26806+27319</f>
        <v>54125</v>
      </c>
      <c r="M460" s="10" t="n">
        <f aca="false">27546+27514</f>
        <v>55060</v>
      </c>
      <c r="N460" s="10" t="n">
        <f aca="false">28515+27763</f>
        <v>56278</v>
      </c>
      <c r="O460" s="10" t="n">
        <f aca="false">23907+29030</f>
        <v>52937</v>
      </c>
      <c r="P460" s="10" t="n">
        <f aca="false">3324+6300</f>
        <v>9624</v>
      </c>
      <c r="Q460" s="10" t="n">
        <f aca="false">4397+6431</f>
        <v>10828</v>
      </c>
      <c r="R460" s="10" t="n">
        <f aca="false">4390+7928</f>
        <v>12318</v>
      </c>
      <c r="S460" s="10" t="n">
        <f aca="false">3816+7448</f>
        <v>11264</v>
      </c>
      <c r="T460" s="10" t="n">
        <f aca="false">3405+7431</f>
        <v>10836</v>
      </c>
      <c r="U460" s="6"/>
      <c r="V460" s="6"/>
      <c r="W460" s="6"/>
      <c r="X460" s="6"/>
    </row>
    <row r="461" customFormat="false" ht="12.75" hidden="false" customHeight="false" outlineLevel="0" collapsed="false">
      <c r="A461" s="8"/>
      <c r="B461" s="8"/>
      <c r="C461" s="0" t="s">
        <v>19</v>
      </c>
      <c r="D461" s="8"/>
      <c r="E461" s="8"/>
      <c r="F461" s="10" t="n">
        <f aca="false">F460/31</f>
        <v>3554.29032258065</v>
      </c>
      <c r="G461" s="10" t="n">
        <f aca="false">G460/29</f>
        <v>3620.8275862069</v>
      </c>
      <c r="H461" s="10" t="n">
        <f aca="false">H460/31</f>
        <v>3234.45161290323</v>
      </c>
      <c r="I461" s="10" t="n">
        <f aca="false">I460/30</f>
        <v>2555.93333333333</v>
      </c>
      <c r="J461" s="10" t="n">
        <f aca="false">J460/31</f>
        <v>2061.41935483871</v>
      </c>
      <c r="K461" s="10" t="n">
        <f aca="false">K460/30</f>
        <v>1822.23333333333</v>
      </c>
      <c r="L461" s="10" t="n">
        <f aca="false">L460/31</f>
        <v>1745.96774193548</v>
      </c>
      <c r="M461" s="10" t="n">
        <f aca="false">M460/31</f>
        <v>1776.12903225806</v>
      </c>
      <c r="N461" s="10" t="n">
        <f aca="false">N460/30</f>
        <v>1875.93333333333</v>
      </c>
      <c r="O461" s="10" t="n">
        <f aca="false">O460/31</f>
        <v>1707.64516129032</v>
      </c>
      <c r="P461" s="10" t="n">
        <f aca="false">P460/30</f>
        <v>320.8</v>
      </c>
      <c r="Q461" s="10" t="n">
        <f aca="false">Q460/31</f>
        <v>349.290322580645</v>
      </c>
      <c r="R461" s="10" t="n">
        <f aca="false">R460/31</f>
        <v>397.354838709677</v>
      </c>
      <c r="S461" s="10" t="n">
        <f aca="false">S460/28</f>
        <v>402.285714285714</v>
      </c>
      <c r="T461" s="10" t="n">
        <f aca="false">T460/31</f>
        <v>349.548387096774</v>
      </c>
      <c r="U461" s="6"/>
      <c r="V461" s="6"/>
      <c r="W461" s="6"/>
      <c r="X461" s="6"/>
    </row>
    <row r="462" customFormat="false" ht="12.75" hidden="false" customHeight="false" outlineLevel="0" collapsed="false">
      <c r="A462" s="1"/>
      <c r="B462" s="1"/>
      <c r="C462" s="0" t="s">
        <v>20</v>
      </c>
      <c r="F462" s="6" t="n">
        <v>1214</v>
      </c>
      <c r="G462" s="6" t="n">
        <v>1214</v>
      </c>
      <c r="H462" s="6" t="n">
        <v>1214</v>
      </c>
      <c r="I462" s="6" t="n">
        <v>1214</v>
      </c>
      <c r="J462" s="6" t="n">
        <v>1214</v>
      </c>
      <c r="K462" s="6" t="n">
        <v>1214</v>
      </c>
      <c r="L462" s="6" t="n">
        <v>1214</v>
      </c>
      <c r="M462" s="6" t="n">
        <v>1214</v>
      </c>
      <c r="N462" s="6" t="n">
        <v>1214</v>
      </c>
      <c r="O462" s="6" t="n">
        <v>1214</v>
      </c>
      <c r="P462" s="6" t="n">
        <v>1214</v>
      </c>
      <c r="Q462" s="6" t="n">
        <v>1214</v>
      </c>
      <c r="R462" s="6" t="n">
        <v>1214</v>
      </c>
      <c r="S462" s="6" t="n">
        <v>1214</v>
      </c>
      <c r="T462" s="6" t="n">
        <v>1214</v>
      </c>
      <c r="U462" s="6"/>
      <c r="V462" s="6"/>
      <c r="W462" s="6"/>
      <c r="X462" s="6"/>
    </row>
    <row r="463" customFormat="false" ht="12.75" hidden="false" customHeight="false" outlineLevel="0" collapsed="false">
      <c r="A463" s="1"/>
      <c r="B463" s="1"/>
      <c r="C463" s="0" t="s">
        <v>22</v>
      </c>
      <c r="F463" s="4" t="s">
        <v>108</v>
      </c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 customFormat="false" ht="12.75" hidden="false" customHeight="false" outlineLevel="0" collapsed="false">
      <c r="A464" s="1"/>
      <c r="B464" s="1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 customFormat="false" ht="12.75" hidden="false" customHeight="false" outlineLevel="0" collapsed="false">
      <c r="A465" s="1"/>
      <c r="B465" s="1" t="s">
        <v>109</v>
      </c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 customFormat="false" ht="12.75" hidden="false" customHeight="false" outlineLevel="0" collapsed="false">
      <c r="A466" s="1"/>
      <c r="B466" s="1"/>
      <c r="D466" s="0" t="s">
        <v>106</v>
      </c>
      <c r="F466" s="4" t="n">
        <v>0.21</v>
      </c>
      <c r="G466" s="4" t="n">
        <v>0.21</v>
      </c>
      <c r="H466" s="4" t="n">
        <v>0.21</v>
      </c>
      <c r="I466" s="4" t="n">
        <v>0.11</v>
      </c>
      <c r="J466" s="4" t="n">
        <v>0.11</v>
      </c>
      <c r="K466" s="4" t="n">
        <v>0.11</v>
      </c>
      <c r="L466" s="4" t="n">
        <v>0.11</v>
      </c>
      <c r="M466" s="4" t="n">
        <v>0.11</v>
      </c>
      <c r="N466" s="4" t="n">
        <v>0.11</v>
      </c>
      <c r="O466" s="4" t="n">
        <v>0.11</v>
      </c>
      <c r="P466" s="4" t="n">
        <v>0.21</v>
      </c>
      <c r="Q466" s="4" t="n">
        <v>0.21</v>
      </c>
      <c r="R466" s="4" t="n">
        <v>0.21</v>
      </c>
      <c r="S466" s="4" t="n">
        <v>0.21</v>
      </c>
      <c r="T466" s="4" t="n">
        <v>0.21</v>
      </c>
    </row>
    <row r="467" customFormat="false" ht="12.75" hidden="false" customHeight="false" outlineLevel="0" collapsed="false">
      <c r="A467" s="1"/>
      <c r="B467" s="1"/>
      <c r="D467" s="0" t="s">
        <v>110</v>
      </c>
      <c r="F467" s="4" t="n">
        <v>0.21</v>
      </c>
      <c r="G467" s="4" t="n">
        <v>0.21</v>
      </c>
      <c r="H467" s="4" t="n">
        <v>0.21</v>
      </c>
      <c r="I467" s="4" t="n">
        <v>0.11</v>
      </c>
      <c r="J467" s="4" t="n">
        <v>0.11</v>
      </c>
      <c r="K467" s="4" t="n">
        <v>0.11</v>
      </c>
      <c r="L467" s="4" t="n">
        <v>0.11</v>
      </c>
      <c r="M467" s="4" t="n">
        <v>0.11</v>
      </c>
      <c r="N467" s="4" t="n">
        <v>0.11</v>
      </c>
      <c r="O467" s="4" t="n">
        <v>0.11</v>
      </c>
      <c r="P467" s="4" t="n">
        <v>0.21</v>
      </c>
      <c r="Q467" s="4" t="n">
        <v>0.21</v>
      </c>
      <c r="R467" s="4" t="n">
        <v>0.21</v>
      </c>
      <c r="S467" s="4" t="n">
        <v>0.21</v>
      </c>
      <c r="T467" s="4" t="n">
        <v>0.21</v>
      </c>
    </row>
    <row r="468" customFormat="false" ht="12.75" hidden="false" customHeight="false" outlineLevel="0" collapsed="false">
      <c r="A468" s="1"/>
      <c r="B468" s="1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</row>
    <row r="469" customFormat="false" ht="12.75" hidden="true" customHeight="false" outlineLevel="0" collapsed="false">
      <c r="A469" s="1"/>
      <c r="B469" s="1"/>
      <c r="C469" s="0" t="s">
        <v>19</v>
      </c>
      <c r="F469" s="10" t="n">
        <f aca="false">9497+16281+332631</f>
        <v>358409</v>
      </c>
      <c r="G469" s="10" t="n">
        <f aca="false">9482+14660+302245</f>
        <v>326387</v>
      </c>
      <c r="H469" s="10" t="n">
        <f aca="false">9497+11960+310684</f>
        <v>332141</v>
      </c>
      <c r="I469" s="10" t="n">
        <f aca="false">8080+10797+18257</f>
        <v>37134</v>
      </c>
      <c r="J469" s="10" t="n">
        <f aca="false">6693+9947+15077</f>
        <v>31717</v>
      </c>
      <c r="K469" s="10" t="n">
        <f aca="false">6788+8933+12919</f>
        <v>28640</v>
      </c>
      <c r="L469" s="10" t="n">
        <f aca="false">7004+9333+12345</f>
        <v>28682</v>
      </c>
      <c r="M469" s="10" t="n">
        <f aca="false">4136+9675+12040</f>
        <v>25851</v>
      </c>
      <c r="N469" s="10" t="n">
        <f aca="false">4178+24232+12569</f>
        <v>40979</v>
      </c>
      <c r="O469" s="10" t="n">
        <f aca="false">21804+14143</f>
        <v>35947</v>
      </c>
      <c r="P469" s="10" t="n">
        <f aca="false">5544</f>
        <v>5544</v>
      </c>
      <c r="Q469" s="10" t="n">
        <f aca="false">3728</f>
        <v>3728</v>
      </c>
      <c r="R469" s="10" t="n">
        <f aca="false">3243</f>
        <v>3243</v>
      </c>
      <c r="S469" s="10" t="n">
        <f aca="false">2690</f>
        <v>2690</v>
      </c>
      <c r="T469" s="10" t="n">
        <f aca="false">2623</f>
        <v>2623</v>
      </c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</row>
    <row r="470" customFormat="false" ht="12.75" hidden="false" customHeight="false" outlineLevel="0" collapsed="false">
      <c r="A470" s="8"/>
      <c r="B470" s="8"/>
      <c r="C470" s="0" t="s">
        <v>19</v>
      </c>
      <c r="D470" s="8"/>
      <c r="E470" s="8"/>
      <c r="F470" s="10" t="n">
        <f aca="false">F469/31</f>
        <v>11561.5806451613</v>
      </c>
      <c r="G470" s="10" t="n">
        <f aca="false">G469/29</f>
        <v>11254.724137931</v>
      </c>
      <c r="H470" s="10" t="n">
        <f aca="false">H469/31</f>
        <v>10714.2258064516</v>
      </c>
      <c r="I470" s="10" t="n">
        <f aca="false">I469/30</f>
        <v>1237.8</v>
      </c>
      <c r="J470" s="10" t="n">
        <f aca="false">J469/31</f>
        <v>1023.12903225806</v>
      </c>
      <c r="K470" s="10" t="n">
        <f aca="false">K469/30</f>
        <v>954.666666666667</v>
      </c>
      <c r="L470" s="10" t="n">
        <f aca="false">L469/31</f>
        <v>925.225806451613</v>
      </c>
      <c r="M470" s="10" t="n">
        <f aca="false">M469/31</f>
        <v>833.903225806452</v>
      </c>
      <c r="N470" s="10" t="n">
        <f aca="false">N469/30</f>
        <v>1365.96666666667</v>
      </c>
      <c r="O470" s="10" t="n">
        <f aca="false">O469/31</f>
        <v>1159.58064516129</v>
      </c>
      <c r="P470" s="10" t="n">
        <f aca="false">P469/30</f>
        <v>184.8</v>
      </c>
      <c r="Q470" s="10" t="n">
        <f aca="false">Q469/31</f>
        <v>120.258064516129</v>
      </c>
      <c r="R470" s="10" t="n">
        <f aca="false">R469/31</f>
        <v>104.612903225806</v>
      </c>
      <c r="S470" s="10" t="n">
        <f aca="false">S469/28</f>
        <v>96.0714285714286</v>
      </c>
      <c r="T470" s="10" t="n">
        <f aca="false">T469/31</f>
        <v>84.6129032258065</v>
      </c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</row>
    <row r="471" customFormat="false" ht="12.75" hidden="false" customHeight="false" outlineLevel="0" collapsed="false">
      <c r="A471" s="1"/>
      <c r="B471" s="1"/>
      <c r="C471" s="0" t="s">
        <v>20</v>
      </c>
      <c r="F471" s="6" t="n">
        <v>0</v>
      </c>
      <c r="G471" s="6" t="n">
        <v>0</v>
      </c>
      <c r="H471" s="6" t="n">
        <v>0</v>
      </c>
      <c r="I471" s="6" t="n">
        <v>0</v>
      </c>
      <c r="J471" s="6" t="n">
        <v>0</v>
      </c>
      <c r="K471" s="6" t="n">
        <v>0</v>
      </c>
      <c r="L471" s="6" t="n">
        <v>0</v>
      </c>
      <c r="M471" s="6" t="n">
        <v>0</v>
      </c>
      <c r="N471" s="6" t="n">
        <v>0</v>
      </c>
      <c r="O471" s="6" t="n">
        <v>0</v>
      </c>
      <c r="P471" s="6" t="n">
        <v>0</v>
      </c>
      <c r="Q471" s="6" t="n">
        <v>0</v>
      </c>
      <c r="R471" s="6" t="n">
        <v>0</v>
      </c>
      <c r="S471" s="6" t="n">
        <v>0</v>
      </c>
      <c r="T471" s="6" t="n">
        <v>0</v>
      </c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</row>
    <row r="472" customFormat="false" ht="12.75" hidden="false" customHeight="false" outlineLevel="0" collapsed="false">
      <c r="A472" s="1"/>
      <c r="B472" s="1"/>
      <c r="C472" s="0" t="s">
        <v>22</v>
      </c>
      <c r="F472" s="4" t="s">
        <v>111</v>
      </c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 customFormat="false" ht="12.75" hidden="false" customHeight="false" outlineLevel="0" collapsed="false">
      <c r="A473" s="1"/>
      <c r="B473" s="1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 customFormat="false" ht="12.75" hidden="false" customHeight="false" outlineLevel="0" collapsed="false">
      <c r="A474" s="1"/>
      <c r="B474" s="1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 customFormat="false" ht="12.75" hidden="false" customHeight="false" outlineLevel="0" collapsed="false">
      <c r="A475" s="1" t="s">
        <v>112</v>
      </c>
      <c r="B475" s="1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 customFormat="false" ht="12.75" hidden="false" customHeight="false" outlineLevel="0" collapsed="false">
      <c r="A476" s="1"/>
      <c r="B476" s="1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 customFormat="false" ht="12.75" hidden="false" customHeight="false" outlineLevel="0" collapsed="false">
      <c r="A477" s="1"/>
      <c r="B477" s="1" t="s">
        <v>113</v>
      </c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 customFormat="false" ht="12.75" hidden="false" customHeight="false" outlineLevel="0" collapsed="false">
      <c r="A478" s="1"/>
      <c r="B478" s="1"/>
      <c r="D478" s="0" t="s">
        <v>114</v>
      </c>
      <c r="F478" s="4" t="n">
        <v>0.025</v>
      </c>
      <c r="G478" s="4" t="n">
        <v>0.025</v>
      </c>
      <c r="H478" s="4" t="n">
        <v>0.025</v>
      </c>
      <c r="I478" s="4" t="n">
        <v>0.01</v>
      </c>
      <c r="J478" s="4" t="n">
        <v>0.01</v>
      </c>
      <c r="K478" s="4" t="n">
        <v>0.01</v>
      </c>
      <c r="L478" s="4" t="n">
        <v>0.01</v>
      </c>
      <c r="M478" s="4" t="n">
        <v>0.01</v>
      </c>
      <c r="N478" s="4" t="n">
        <v>0.01</v>
      </c>
      <c r="O478" s="4" t="n">
        <v>0.01</v>
      </c>
      <c r="P478" s="4" t="n">
        <v>0.03</v>
      </c>
      <c r="Q478" s="4" t="n">
        <v>0.03</v>
      </c>
      <c r="R478" s="4" t="n">
        <v>0.03</v>
      </c>
      <c r="S478" s="4" t="n">
        <v>0.03</v>
      </c>
      <c r="T478" s="4" t="n">
        <v>0.03</v>
      </c>
    </row>
    <row r="479" customFormat="false" ht="12.75" hidden="false" customHeight="false" outlineLevel="0" collapsed="false">
      <c r="A479" s="1"/>
      <c r="B479" s="1"/>
      <c r="D479" s="0" t="s">
        <v>115</v>
      </c>
      <c r="F479" s="4" t="n">
        <v>0</v>
      </c>
      <c r="G479" s="4" t="n">
        <v>0</v>
      </c>
      <c r="H479" s="4" t="n">
        <v>0</v>
      </c>
      <c r="I479" s="4" t="n">
        <v>0</v>
      </c>
      <c r="J479" s="4" t="n">
        <v>0</v>
      </c>
      <c r="K479" s="4" t="n">
        <v>0</v>
      </c>
      <c r="L479" s="4" t="n">
        <v>0</v>
      </c>
      <c r="M479" s="4" t="n">
        <v>0</v>
      </c>
      <c r="N479" s="4" t="n">
        <v>0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0</v>
      </c>
      <c r="T479" s="4" t="n">
        <v>0</v>
      </c>
    </row>
    <row r="480" customFormat="false" ht="12.75" hidden="false" customHeight="false" outlineLevel="0" collapsed="false">
      <c r="A480" s="1"/>
      <c r="B480" s="1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</row>
    <row r="481" customFormat="false" ht="12.75" hidden="true" customHeight="false" outlineLevel="0" collapsed="false">
      <c r="A481" s="1"/>
      <c r="B481" s="1"/>
      <c r="C481" s="0" t="s">
        <v>19</v>
      </c>
      <c r="F481" s="10" t="n">
        <f aca="false">7087+27916+4164+47023</f>
        <v>86190</v>
      </c>
      <c r="G481" s="10" t="n">
        <f aca="false">6158+25495+4819+43765</f>
        <v>80237</v>
      </c>
      <c r="H481" s="10" t="n">
        <f aca="false">5882+24627+3288+41550</f>
        <v>75347</v>
      </c>
      <c r="I481" s="10" t="n">
        <f aca="false">4739+18344+3089+26820</f>
        <v>52992</v>
      </c>
      <c r="J481" s="10" t="n">
        <f aca="false">3956+14954+1646+22692</f>
        <v>43248</v>
      </c>
      <c r="K481" s="10" t="n">
        <f aca="false">3489+14518+610+20850</f>
        <v>39467</v>
      </c>
      <c r="L481" s="10" t="n">
        <f aca="false">3376+14445+409+19747</f>
        <v>37977</v>
      </c>
      <c r="M481" s="10" t="n">
        <f aca="false">3495+14423+403+20615</f>
        <v>38936</v>
      </c>
      <c r="N481" s="10" t="n">
        <f aca="false">1890+14607+495+22140</f>
        <v>39132</v>
      </c>
      <c r="O481" s="10" t="n">
        <f aca="false">2899+14341+1024+23932</f>
        <v>42196</v>
      </c>
      <c r="P481" s="10" t="n">
        <f aca="false">2502+3600+1009</f>
        <v>7111</v>
      </c>
      <c r="Q481" s="10" t="n">
        <f aca="false">2227+5890+1086</f>
        <v>9203</v>
      </c>
      <c r="R481" s="10" t="n">
        <f aca="false">2526+8680+272</f>
        <v>11478</v>
      </c>
      <c r="S481" s="10" t="n">
        <f aca="false">2526+6440+2089</f>
        <v>11055</v>
      </c>
      <c r="T481" s="10" t="n">
        <f aca="false">2188+6820+173</f>
        <v>9181</v>
      </c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</row>
    <row r="482" customFormat="false" ht="12.75" hidden="false" customHeight="false" outlineLevel="0" collapsed="false">
      <c r="A482" s="8"/>
      <c r="B482" s="8"/>
      <c r="C482" s="0" t="s">
        <v>19</v>
      </c>
      <c r="D482" s="8"/>
      <c r="E482" s="8"/>
      <c r="F482" s="10" t="n">
        <f aca="false">F481/31</f>
        <v>2780.32258064516</v>
      </c>
      <c r="G482" s="10" t="n">
        <f aca="false">G481/29</f>
        <v>2766.79310344828</v>
      </c>
      <c r="H482" s="10" t="n">
        <f aca="false">H481/31</f>
        <v>2430.54838709677</v>
      </c>
      <c r="I482" s="10" t="n">
        <f aca="false">I481/30</f>
        <v>1766.4</v>
      </c>
      <c r="J482" s="10" t="n">
        <f aca="false">J481/31</f>
        <v>1395.09677419355</v>
      </c>
      <c r="K482" s="10" t="n">
        <f aca="false">K481/30</f>
        <v>1315.56666666667</v>
      </c>
      <c r="L482" s="10" t="n">
        <f aca="false">L481/31</f>
        <v>1225.06451612903</v>
      </c>
      <c r="M482" s="10" t="n">
        <f aca="false">M481/31</f>
        <v>1256</v>
      </c>
      <c r="N482" s="10" t="n">
        <f aca="false">N481/30</f>
        <v>1304.4</v>
      </c>
      <c r="O482" s="10" t="n">
        <f aca="false">O481/31</f>
        <v>1361.16129032258</v>
      </c>
      <c r="P482" s="10" t="n">
        <f aca="false">P481/30</f>
        <v>237.033333333333</v>
      </c>
      <c r="Q482" s="10" t="n">
        <f aca="false">Q481/31</f>
        <v>296.870967741936</v>
      </c>
      <c r="R482" s="10" t="n">
        <f aca="false">R481/31</f>
        <v>370.258064516129</v>
      </c>
      <c r="S482" s="10" t="n">
        <f aca="false">S481/28</f>
        <v>394.821428571429</v>
      </c>
      <c r="T482" s="10" t="n">
        <f aca="false">T481/31</f>
        <v>296.161290322581</v>
      </c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</row>
    <row r="483" customFormat="false" ht="12.75" hidden="false" customHeight="false" outlineLevel="0" collapsed="false">
      <c r="A483" s="1"/>
      <c r="B483" s="1"/>
      <c r="C483" s="0" t="s">
        <v>20</v>
      </c>
      <c r="F483" s="6" t="n">
        <v>756</v>
      </c>
      <c r="G483" s="6" t="n">
        <v>756</v>
      </c>
      <c r="H483" s="6" t="n">
        <v>756</v>
      </c>
      <c r="I483" s="6" t="n">
        <v>756</v>
      </c>
      <c r="J483" s="6" t="n">
        <v>756</v>
      </c>
      <c r="K483" s="6" t="n">
        <v>756</v>
      </c>
      <c r="L483" s="6" t="n">
        <v>756</v>
      </c>
      <c r="M483" s="6" t="n">
        <v>756</v>
      </c>
      <c r="N483" s="6" t="n">
        <v>756</v>
      </c>
      <c r="O483" s="6" t="n">
        <v>756</v>
      </c>
      <c r="P483" s="6" t="n">
        <v>756</v>
      </c>
      <c r="Q483" s="6" t="n">
        <v>756</v>
      </c>
      <c r="R483" s="6" t="n">
        <v>756</v>
      </c>
      <c r="S483" s="6" t="n">
        <v>756</v>
      </c>
      <c r="T483" s="6" t="n">
        <v>756</v>
      </c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</row>
    <row r="484" customFormat="false" ht="12.75" hidden="false" customHeight="false" outlineLevel="0" collapsed="false">
      <c r="A484" s="1"/>
      <c r="B484" s="1"/>
      <c r="C484" s="0" t="s">
        <v>22</v>
      </c>
      <c r="F484" s="4" t="s">
        <v>116</v>
      </c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 customFormat="false" ht="12.75" hidden="false" customHeight="false" outlineLevel="0" collapsed="false">
      <c r="A485" s="1"/>
      <c r="B485" s="1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 customFormat="false" ht="12.75" hidden="false" customHeight="false" outlineLevel="0" collapsed="false">
      <c r="A486" s="1" t="s">
        <v>117</v>
      </c>
      <c r="B486" s="1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 customFormat="false" ht="12.75" hidden="false" customHeight="false" outlineLevel="0" collapsed="false">
      <c r="A487" s="1"/>
      <c r="B487" s="1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 customFormat="false" ht="12.75" hidden="false" customHeight="false" outlineLevel="0" collapsed="false">
      <c r="A488" s="1"/>
      <c r="B488" s="1" t="s">
        <v>118</v>
      </c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 customFormat="false" ht="12.75" hidden="false" customHeight="false" outlineLevel="0" collapsed="false">
      <c r="A489" s="1"/>
      <c r="B489" s="1"/>
      <c r="D489" s="0" t="s">
        <v>119</v>
      </c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 customFormat="false" ht="12.75" hidden="false" customHeight="false" outlineLevel="0" collapsed="false">
      <c r="A490" s="1"/>
      <c r="B490" s="1"/>
      <c r="D490" s="0" t="s">
        <v>120</v>
      </c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 customFormat="false" ht="12.75" hidden="false" customHeight="false" outlineLevel="0" collapsed="false">
      <c r="A491" s="1"/>
      <c r="B491" s="1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</row>
    <row r="492" customFormat="false" ht="12.75" hidden="true" customHeight="false" outlineLevel="0" collapsed="false">
      <c r="A492" s="1"/>
      <c r="B492" s="1"/>
      <c r="C492" s="0" t="s">
        <v>21</v>
      </c>
      <c r="F492" s="10" t="n">
        <f aca="false">499401+169611</f>
        <v>669012</v>
      </c>
      <c r="G492" s="10" t="n">
        <f aca="false">384499+177465</f>
        <v>561964</v>
      </c>
      <c r="H492" s="10" t="n">
        <f aca="false">246879+149191</f>
        <v>396070</v>
      </c>
      <c r="I492" s="10" t="n">
        <f aca="false">113692+210504</f>
        <v>324196</v>
      </c>
      <c r="J492" s="10" t="n">
        <f aca="false">51932+209903</f>
        <v>261835</v>
      </c>
      <c r="K492" s="10" t="n">
        <f aca="false">130190+36192</f>
        <v>166382</v>
      </c>
      <c r="L492" s="10" t="n">
        <f aca="false">155064+33912</f>
        <v>188976</v>
      </c>
      <c r="M492" s="10" t="n">
        <f aca="false">164241+33760</f>
        <v>198001</v>
      </c>
      <c r="N492" s="10" t="n">
        <f aca="false">163981+27690</f>
        <v>191671</v>
      </c>
      <c r="O492" s="10" t="n">
        <f aca="false">152450+37452</f>
        <v>189902</v>
      </c>
      <c r="P492" s="10" t="n">
        <f aca="false">244778+74296</f>
        <v>319074</v>
      </c>
      <c r="Q492" s="10" t="n">
        <f aca="false">132736+112577</f>
        <v>245313</v>
      </c>
      <c r="R492" s="10" t="n">
        <v>225262</v>
      </c>
      <c r="S492" s="10" t="n">
        <v>166697</v>
      </c>
      <c r="T492" s="10" t="n">
        <v>116507</v>
      </c>
      <c r="U492" s="6"/>
      <c r="V492" s="6"/>
      <c r="W492" s="6"/>
      <c r="X492" s="6"/>
    </row>
    <row r="493" customFormat="false" ht="12.75" hidden="false" customHeight="false" outlineLevel="0" collapsed="false">
      <c r="A493" s="8"/>
      <c r="B493" s="8"/>
      <c r="C493" s="0" t="s">
        <v>21</v>
      </c>
      <c r="D493" s="8"/>
      <c r="E493" s="8"/>
      <c r="F493" s="10" t="n">
        <v>14066</v>
      </c>
      <c r="G493" s="10" t="n">
        <v>13706</v>
      </c>
      <c r="H493" s="10" t="n">
        <v>11801</v>
      </c>
      <c r="I493" s="10" t="n">
        <v>10067</v>
      </c>
      <c r="J493" s="10" t="n">
        <v>5775</v>
      </c>
      <c r="K493" s="10" t="n">
        <v>4266</v>
      </c>
      <c r="L493" s="10" t="n">
        <v>3873</v>
      </c>
      <c r="M493" s="10" t="n">
        <v>3789</v>
      </c>
      <c r="N493" s="10" t="n">
        <v>3311</v>
      </c>
      <c r="O493" s="10" t="n">
        <v>3814</v>
      </c>
      <c r="P493" s="10" t="n">
        <v>3865</v>
      </c>
      <c r="Q493" s="10" t="n">
        <v>3926</v>
      </c>
      <c r="R493" s="10" t="n">
        <v>3801</v>
      </c>
      <c r="S493" s="10" t="n">
        <v>3540</v>
      </c>
      <c r="T493" s="10" t="n">
        <v>3373</v>
      </c>
      <c r="U493" s="6"/>
      <c r="V493" s="6"/>
      <c r="W493" s="6"/>
      <c r="X493" s="6"/>
    </row>
    <row r="494" customFormat="false" ht="12.75" hidden="false" customHeight="false" outlineLevel="0" collapsed="false">
      <c r="A494" s="1"/>
      <c r="B494" s="1"/>
      <c r="C494" s="0" t="s">
        <v>121</v>
      </c>
      <c r="F494" s="6" t="n">
        <v>14066</v>
      </c>
      <c r="G494" s="6" t="n">
        <v>14066</v>
      </c>
      <c r="H494" s="6" t="n">
        <v>14066</v>
      </c>
      <c r="I494" s="6" t="n">
        <v>14066</v>
      </c>
      <c r="J494" s="6" t="n">
        <v>14066</v>
      </c>
      <c r="K494" s="6" t="n">
        <v>14066</v>
      </c>
      <c r="L494" s="6" t="n">
        <v>14066</v>
      </c>
      <c r="M494" s="6" t="n">
        <v>14066</v>
      </c>
      <c r="N494" s="6" t="n">
        <v>14066</v>
      </c>
      <c r="O494" s="6" t="n">
        <v>14066</v>
      </c>
      <c r="P494" s="6" t="n">
        <v>14066</v>
      </c>
      <c r="Q494" s="6" t="n">
        <v>14066</v>
      </c>
      <c r="R494" s="6" t="n">
        <v>14066</v>
      </c>
      <c r="S494" s="6" t="n">
        <v>14066</v>
      </c>
      <c r="T494" s="6" t="n">
        <v>14066</v>
      </c>
      <c r="U494" s="6"/>
      <c r="V494" s="6"/>
      <c r="W494" s="6"/>
      <c r="X494" s="6"/>
    </row>
    <row r="495" customFormat="false" ht="12.75" hidden="false" customHeight="false" outlineLevel="0" collapsed="false">
      <c r="A495" s="1"/>
      <c r="B495" s="1"/>
      <c r="C495" s="0" t="s">
        <v>22</v>
      </c>
      <c r="F495" s="4" t="s">
        <v>122</v>
      </c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</row>
    <row r="496" customFormat="false" ht="12.75" hidden="false" customHeight="false" outlineLevel="0" collapsed="false">
      <c r="A496" s="1"/>
      <c r="B496" s="1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</row>
    <row r="497" customFormat="false" ht="12.75" hidden="false" customHeight="false" outlineLevel="0" collapsed="false">
      <c r="A497" s="1"/>
      <c r="B497" s="1" t="s">
        <v>123</v>
      </c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</row>
    <row r="498" customFormat="false" ht="12.75" hidden="false" customHeight="false" outlineLevel="0" collapsed="false">
      <c r="A498" s="1"/>
      <c r="B498" s="1"/>
      <c r="D498" s="0" t="s">
        <v>114</v>
      </c>
      <c r="F498" s="4" t="n">
        <v>-0.03</v>
      </c>
      <c r="G498" s="4" t="n">
        <v>-0.03</v>
      </c>
      <c r="H498" s="4" t="n">
        <v>-0.03</v>
      </c>
      <c r="I498" s="4" t="n">
        <v>-0.03</v>
      </c>
      <c r="J498" s="4" t="n">
        <v>-0.03</v>
      </c>
      <c r="K498" s="4" t="n">
        <v>-0.03</v>
      </c>
      <c r="L498" s="4" t="n">
        <v>-0.03</v>
      </c>
      <c r="M498" s="4" t="n">
        <v>-0.03</v>
      </c>
      <c r="N498" s="4" t="n">
        <v>-0.03</v>
      </c>
      <c r="O498" s="4" t="n">
        <v>-0.03</v>
      </c>
      <c r="P498" s="4" t="n">
        <v>-0.03</v>
      </c>
      <c r="Q498" s="4" t="n">
        <v>-0.03</v>
      </c>
      <c r="R498" s="4" t="n">
        <v>-0.03</v>
      </c>
      <c r="S498" s="4" t="n">
        <v>-0.03</v>
      </c>
      <c r="T498" s="4" t="n">
        <v>-0.03</v>
      </c>
    </row>
    <row r="499" customFormat="false" ht="12.75" hidden="false" customHeight="false" outlineLevel="0" collapsed="false">
      <c r="A499" s="1"/>
      <c r="B499" s="1"/>
      <c r="D499" s="0" t="s">
        <v>124</v>
      </c>
      <c r="F499" s="4" t="n">
        <v>-0.03</v>
      </c>
      <c r="G499" s="4" t="n">
        <v>-0.03</v>
      </c>
      <c r="H499" s="4" t="n">
        <v>-0.03</v>
      </c>
      <c r="I499" s="4" t="n">
        <v>-0.03</v>
      </c>
      <c r="J499" s="4" t="n">
        <v>-0.03</v>
      </c>
      <c r="K499" s="4" t="n">
        <v>-0.03</v>
      </c>
      <c r="L499" s="4" t="n">
        <v>-0.03</v>
      </c>
      <c r="M499" s="4" t="n">
        <v>-0.03</v>
      </c>
      <c r="N499" s="4" t="n">
        <v>-0.03</v>
      </c>
      <c r="O499" s="4" t="n">
        <v>-0.03</v>
      </c>
      <c r="P499" s="4" t="n">
        <v>-0.03</v>
      </c>
      <c r="Q499" s="4" t="n">
        <v>-0.03</v>
      </c>
      <c r="R499" s="4" t="n">
        <v>-0.03</v>
      </c>
      <c r="S499" s="4" t="n">
        <v>-0.03</v>
      </c>
      <c r="T499" s="4" t="n">
        <v>-0.03</v>
      </c>
    </row>
    <row r="500" customFormat="false" ht="12.75" hidden="false" customHeight="false" outlineLevel="0" collapsed="false">
      <c r="A500" s="1"/>
      <c r="B500" s="1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</row>
    <row r="501" customFormat="false" ht="12.75" hidden="true" customHeight="false" outlineLevel="0" collapsed="false">
      <c r="A501" s="1"/>
      <c r="B501" s="1"/>
      <c r="C501" s="0" t="s">
        <v>19</v>
      </c>
      <c r="F501" s="7" t="n">
        <f aca="false">3500+4500</f>
        <v>8000</v>
      </c>
      <c r="G501" s="7" t="n">
        <f aca="false">3500+4500</f>
        <v>8000</v>
      </c>
      <c r="H501" s="7" t="n">
        <f aca="false">3500+4500</f>
        <v>8000</v>
      </c>
      <c r="I501" s="6" t="n">
        <v>0</v>
      </c>
      <c r="J501" s="6" t="n">
        <v>0</v>
      </c>
      <c r="K501" s="6" t="n">
        <v>0</v>
      </c>
      <c r="L501" s="6" t="n">
        <v>0</v>
      </c>
      <c r="M501" s="6" t="n">
        <v>0</v>
      </c>
      <c r="N501" s="6" t="n">
        <v>0</v>
      </c>
      <c r="O501" s="6" t="n">
        <v>0</v>
      </c>
      <c r="P501" s="6" t="n">
        <v>0</v>
      </c>
      <c r="Q501" s="6" t="n">
        <v>0</v>
      </c>
      <c r="R501" s="6" t="n">
        <v>0</v>
      </c>
      <c r="S501" s="6" t="n">
        <v>0</v>
      </c>
      <c r="T501" s="6" t="n">
        <v>0</v>
      </c>
    </row>
    <row r="502" customFormat="false" ht="12.75" hidden="false" customHeight="false" outlineLevel="0" collapsed="false">
      <c r="A502" s="8"/>
      <c r="B502" s="8"/>
      <c r="C502" s="0" t="s">
        <v>19</v>
      </c>
      <c r="D502" s="8"/>
      <c r="E502" s="8"/>
      <c r="F502" s="9" t="n">
        <f aca="false">F501/31</f>
        <v>258.064516129032</v>
      </c>
      <c r="G502" s="9" t="n">
        <f aca="false">G501/29</f>
        <v>275.862068965517</v>
      </c>
      <c r="H502" s="9" t="n">
        <f aca="false">H501/31</f>
        <v>258.064516129032</v>
      </c>
      <c r="I502" s="9" t="n">
        <f aca="false">I501/30</f>
        <v>0</v>
      </c>
      <c r="J502" s="9" t="n">
        <f aca="false">J501/31</f>
        <v>0</v>
      </c>
      <c r="K502" s="9" t="n">
        <f aca="false">K501/30</f>
        <v>0</v>
      </c>
      <c r="L502" s="9" t="n">
        <f aca="false">L501/31</f>
        <v>0</v>
      </c>
      <c r="M502" s="9" t="n">
        <f aca="false">M501/31</f>
        <v>0</v>
      </c>
      <c r="N502" s="9" t="n">
        <f aca="false">N501/30</f>
        <v>0</v>
      </c>
      <c r="O502" s="9" t="n">
        <f aca="false">O501/31</f>
        <v>0</v>
      </c>
      <c r="P502" s="9" t="n">
        <f aca="false">P501/30</f>
        <v>0</v>
      </c>
      <c r="Q502" s="9" t="n">
        <f aca="false">Q501/31</f>
        <v>0</v>
      </c>
      <c r="R502" s="9" t="n">
        <f aca="false">R501/31</f>
        <v>0</v>
      </c>
      <c r="S502" s="9" t="n">
        <f aca="false">S501/28</f>
        <v>0</v>
      </c>
      <c r="T502" s="9" t="n">
        <f aca="false">T501/31</f>
        <v>0</v>
      </c>
    </row>
    <row r="503" customFormat="false" ht="12.75" hidden="false" customHeight="false" outlineLevel="0" collapsed="false">
      <c r="A503" s="1"/>
      <c r="B503" s="1"/>
      <c r="C503" s="0" t="s">
        <v>20</v>
      </c>
      <c r="F503" s="6" t="n">
        <v>150</v>
      </c>
      <c r="G503" s="6" t="n">
        <v>150</v>
      </c>
      <c r="H503" s="6" t="n">
        <v>150</v>
      </c>
      <c r="I503" s="6" t="n">
        <v>0</v>
      </c>
      <c r="J503" s="6" t="n">
        <v>0</v>
      </c>
      <c r="K503" s="6" t="n">
        <v>0</v>
      </c>
      <c r="L503" s="6" t="n">
        <v>0</v>
      </c>
      <c r="M503" s="6" t="n">
        <v>0</v>
      </c>
      <c r="N503" s="6" t="n">
        <v>0</v>
      </c>
      <c r="O503" s="6" t="n">
        <v>0</v>
      </c>
      <c r="P503" s="6" t="n">
        <v>0</v>
      </c>
      <c r="Q503" s="6" t="n">
        <v>0</v>
      </c>
      <c r="R503" s="6" t="n">
        <v>0</v>
      </c>
      <c r="S503" s="6" t="n">
        <v>0</v>
      </c>
      <c r="T503" s="6" t="n">
        <v>0</v>
      </c>
    </row>
    <row r="504" customFormat="false" ht="12.75" hidden="false" customHeight="false" outlineLevel="0" collapsed="false">
      <c r="A504" s="1"/>
      <c r="B504" s="1"/>
      <c r="C504" s="0" t="s">
        <v>22</v>
      </c>
      <c r="F504" s="4" t="s">
        <v>125</v>
      </c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</row>
    <row r="505" customFormat="false" ht="12.75" hidden="false" customHeight="false" outlineLevel="0" collapsed="false">
      <c r="A505" s="1"/>
      <c r="B505" s="1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</row>
    <row r="506" customFormat="false" ht="12.75" hidden="false" customHeight="false" outlineLevel="0" collapsed="false">
      <c r="A506" s="1"/>
      <c r="B506" s="1" t="s">
        <v>126</v>
      </c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</row>
    <row r="507" customFormat="false" ht="12.75" hidden="false" customHeight="false" outlineLevel="0" collapsed="false">
      <c r="A507" s="1"/>
      <c r="B507" s="1"/>
      <c r="D507" s="0" t="s">
        <v>114</v>
      </c>
      <c r="F507" s="4" t="n">
        <v>0.025</v>
      </c>
      <c r="G507" s="4" t="n">
        <v>0.025</v>
      </c>
      <c r="H507" s="4" t="n">
        <v>0.025</v>
      </c>
      <c r="I507" s="4" t="n">
        <v>0.01</v>
      </c>
      <c r="J507" s="4" t="n">
        <v>0.01</v>
      </c>
      <c r="K507" s="4" t="n">
        <v>0.01</v>
      </c>
      <c r="L507" s="4" t="n">
        <v>0.01</v>
      </c>
      <c r="M507" s="4" t="n">
        <v>0.01</v>
      </c>
      <c r="N507" s="4" t="n">
        <v>0.01</v>
      </c>
      <c r="O507" s="4" t="n">
        <v>0.01</v>
      </c>
      <c r="P507" s="4" t="n">
        <v>0.03</v>
      </c>
      <c r="Q507" s="4" t="n">
        <v>0.03</v>
      </c>
      <c r="R507" s="4" t="n">
        <v>0.03</v>
      </c>
      <c r="S507" s="4" t="n">
        <v>0.03</v>
      </c>
      <c r="T507" s="4" t="n">
        <v>0.03</v>
      </c>
    </row>
    <row r="508" customFormat="false" ht="12.75" hidden="false" customHeight="false" outlineLevel="0" collapsed="false">
      <c r="A508" s="1"/>
      <c r="B508" s="1"/>
      <c r="D508" s="0" t="s">
        <v>124</v>
      </c>
      <c r="F508" s="4" t="n">
        <v>0</v>
      </c>
      <c r="G508" s="4" t="n">
        <v>0</v>
      </c>
      <c r="H508" s="4" t="n">
        <v>0</v>
      </c>
      <c r="I508" s="4" t="n">
        <v>0</v>
      </c>
      <c r="J508" s="4" t="n">
        <v>0</v>
      </c>
      <c r="K508" s="4" t="n">
        <v>0</v>
      </c>
      <c r="L508" s="4" t="n">
        <v>0</v>
      </c>
      <c r="M508" s="4" t="n">
        <v>0</v>
      </c>
      <c r="N508" s="4" t="n">
        <v>0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0</v>
      </c>
      <c r="T508" s="4" t="n">
        <v>0</v>
      </c>
    </row>
    <row r="509" customFormat="false" ht="12.75" hidden="false" customHeight="false" outlineLevel="0" collapsed="false">
      <c r="A509" s="1"/>
      <c r="B509" s="1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</row>
    <row r="510" customFormat="false" ht="12.75" hidden="true" customHeight="false" outlineLevel="0" collapsed="false">
      <c r="A510" s="1"/>
      <c r="B510" s="1"/>
      <c r="C510" s="0" t="s">
        <v>19</v>
      </c>
      <c r="F510" s="10" t="n">
        <f aca="false">240184+363+4477</f>
        <v>245024</v>
      </c>
      <c r="G510" s="10" t="n">
        <f aca="false">189853+414+4408</f>
        <v>194675</v>
      </c>
      <c r="H510" s="10" t="n">
        <f aca="false">166813+239+3404</f>
        <v>170456</v>
      </c>
      <c r="I510" s="10" t="n">
        <f aca="false">85167+2379+2292</f>
        <v>89838</v>
      </c>
      <c r="J510" s="10" t="n">
        <f aca="false">43589+162+762</f>
        <v>44513</v>
      </c>
      <c r="K510" s="10" t="n">
        <f aca="false">23204+76+538</f>
        <v>23818</v>
      </c>
      <c r="L510" s="10" t="n">
        <f aca="false">14589+77+439</f>
        <v>15105</v>
      </c>
      <c r="M510" s="10" t="n">
        <f aca="false">11893+77+484</f>
        <v>12454</v>
      </c>
      <c r="N510" s="10" t="n">
        <f aca="false">12111+75+449</f>
        <v>12635</v>
      </c>
      <c r="O510" s="10" t="n">
        <f aca="false">20267+3+327</f>
        <v>20597</v>
      </c>
      <c r="P510" s="10" t="n">
        <f aca="false">27297</f>
        <v>27297</v>
      </c>
      <c r="Q510" s="10" t="n">
        <f aca="false">29474</f>
        <v>29474</v>
      </c>
      <c r="R510" s="10" t="n">
        <f aca="false">31418</f>
        <v>31418</v>
      </c>
      <c r="S510" s="10" t="n">
        <f aca="false">19314</f>
        <v>19314</v>
      </c>
      <c r="T510" s="10" t="n">
        <f aca="false">7119</f>
        <v>7119</v>
      </c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</row>
    <row r="511" customFormat="false" ht="12.75" hidden="false" customHeight="false" outlineLevel="0" collapsed="false">
      <c r="A511" s="8"/>
      <c r="B511" s="8"/>
      <c r="C511" s="0" t="s">
        <v>19</v>
      </c>
      <c r="D511" s="8"/>
      <c r="E511" s="8"/>
      <c r="F511" s="10" t="n">
        <f aca="false">F510/31</f>
        <v>7904</v>
      </c>
      <c r="G511" s="10" t="n">
        <f aca="false">G510/29</f>
        <v>6712.93103448276</v>
      </c>
      <c r="H511" s="10" t="n">
        <f aca="false">H510/31</f>
        <v>5498.58064516129</v>
      </c>
      <c r="I511" s="10" t="n">
        <f aca="false">I510/30</f>
        <v>2994.6</v>
      </c>
      <c r="J511" s="10" t="n">
        <f aca="false">J510/31</f>
        <v>1435.90322580645</v>
      </c>
      <c r="K511" s="10" t="n">
        <f aca="false">K510/30</f>
        <v>793.933333333333</v>
      </c>
      <c r="L511" s="10" t="n">
        <f aca="false">L510/31</f>
        <v>487.258064516129</v>
      </c>
      <c r="M511" s="10" t="n">
        <f aca="false">M510/31</f>
        <v>401.741935483871</v>
      </c>
      <c r="N511" s="10" t="n">
        <f aca="false">N510/30</f>
        <v>421.166666666667</v>
      </c>
      <c r="O511" s="10" t="n">
        <f aca="false">O510/31</f>
        <v>664.41935483871</v>
      </c>
      <c r="P511" s="10" t="n">
        <f aca="false">P510/30</f>
        <v>909.9</v>
      </c>
      <c r="Q511" s="10" t="n">
        <f aca="false">Q510/31</f>
        <v>950.774193548387</v>
      </c>
      <c r="R511" s="10" t="n">
        <f aca="false">R510/31</f>
        <v>1013.48387096774</v>
      </c>
      <c r="S511" s="10" t="n">
        <f aca="false">S510/28</f>
        <v>689.785714285714</v>
      </c>
      <c r="T511" s="10" t="n">
        <f aca="false">T510/31</f>
        <v>229.645161290323</v>
      </c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</row>
    <row r="512" customFormat="false" ht="12.75" hidden="false" customHeight="false" outlineLevel="0" collapsed="false">
      <c r="A512" s="1"/>
      <c r="B512" s="1"/>
      <c r="C512" s="0" t="s">
        <v>20</v>
      </c>
      <c r="F512" s="6" t="n">
        <v>0</v>
      </c>
      <c r="G512" s="6" t="n">
        <v>0</v>
      </c>
      <c r="H512" s="6" t="n">
        <v>0</v>
      </c>
      <c r="I512" s="6" t="n">
        <v>0</v>
      </c>
      <c r="J512" s="6" t="n">
        <v>0</v>
      </c>
      <c r="K512" s="6" t="n">
        <v>0</v>
      </c>
      <c r="L512" s="6" t="n">
        <v>0</v>
      </c>
      <c r="M512" s="6" t="n">
        <v>0</v>
      </c>
      <c r="N512" s="6" t="n">
        <v>0</v>
      </c>
      <c r="O512" s="6" t="n">
        <v>0</v>
      </c>
      <c r="P512" s="6" t="n">
        <v>0</v>
      </c>
      <c r="Q512" s="6" t="n">
        <v>0</v>
      </c>
      <c r="R512" s="6" t="n">
        <v>0</v>
      </c>
      <c r="S512" s="6" t="n">
        <v>0</v>
      </c>
      <c r="T512" s="6" t="n">
        <v>0</v>
      </c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</row>
    <row r="513" customFormat="false" ht="12.75" hidden="false" customHeight="false" outlineLevel="0" collapsed="false">
      <c r="A513" s="1"/>
      <c r="B513" s="1"/>
      <c r="C513" s="0" t="s">
        <v>22</v>
      </c>
      <c r="F513" s="4" t="s">
        <v>127</v>
      </c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</row>
    <row r="514" customFormat="false" ht="12.75" hidden="false" customHeight="false" outlineLevel="0" collapsed="false">
      <c r="A514" s="1"/>
      <c r="B514" s="1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</row>
    <row r="515" customFormat="false" ht="12.75" hidden="false" customHeight="false" outlineLevel="0" collapsed="false">
      <c r="A515" s="1"/>
      <c r="B515" s="1" t="s">
        <v>128</v>
      </c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</row>
    <row r="516" customFormat="false" ht="12.75" hidden="false" customHeight="false" outlineLevel="0" collapsed="false">
      <c r="A516" s="1"/>
      <c r="B516" s="1"/>
      <c r="D516" s="0" t="s">
        <v>129</v>
      </c>
      <c r="F516" s="4" t="n">
        <v>0.045</v>
      </c>
      <c r="G516" s="4" t="n">
        <v>0.045</v>
      </c>
      <c r="H516" s="4" t="n">
        <v>0.045</v>
      </c>
      <c r="I516" s="4" t="n">
        <v>0.01</v>
      </c>
      <c r="J516" s="4" t="n">
        <v>0.01</v>
      </c>
      <c r="K516" s="4" t="n">
        <v>0.01</v>
      </c>
      <c r="L516" s="4" t="n">
        <v>0.01</v>
      </c>
      <c r="M516" s="4" t="n">
        <v>0.01</v>
      </c>
      <c r="N516" s="4" t="n">
        <v>0.01</v>
      </c>
      <c r="O516" s="4" t="n">
        <v>0.01</v>
      </c>
      <c r="P516" s="4" t="n">
        <v>0.04</v>
      </c>
      <c r="Q516" s="4" t="n">
        <v>0.04</v>
      </c>
      <c r="R516" s="4" t="n">
        <v>0.04</v>
      </c>
      <c r="S516" s="4" t="n">
        <v>0.04</v>
      </c>
      <c r="T516" s="4" t="n">
        <v>0.04</v>
      </c>
    </row>
    <row r="517" customFormat="false" ht="12.75" hidden="false" customHeight="false" outlineLevel="0" collapsed="false">
      <c r="A517" s="1"/>
      <c r="B517" s="1"/>
      <c r="D517" s="0" t="s">
        <v>130</v>
      </c>
      <c r="F517" s="4" t="n">
        <v>0</v>
      </c>
      <c r="G517" s="4" t="n">
        <v>0</v>
      </c>
      <c r="H517" s="4" t="n">
        <v>0</v>
      </c>
      <c r="I517" s="4" t="n">
        <v>0</v>
      </c>
      <c r="J517" s="4" t="n">
        <v>0</v>
      </c>
      <c r="K517" s="4" t="n">
        <v>0</v>
      </c>
      <c r="L517" s="4" t="n">
        <v>0</v>
      </c>
      <c r="M517" s="4" t="n">
        <v>0</v>
      </c>
      <c r="N517" s="4" t="n">
        <v>0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0</v>
      </c>
      <c r="T517" s="4" t="n">
        <v>0</v>
      </c>
    </row>
    <row r="518" customFormat="false" ht="12.75" hidden="false" customHeight="false" outlineLevel="0" collapsed="false">
      <c r="A518" s="1"/>
      <c r="B518" s="1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</row>
    <row r="519" customFormat="false" ht="12.75" hidden="true" customHeight="false" outlineLevel="0" collapsed="false">
      <c r="A519" s="1"/>
      <c r="B519" s="1"/>
      <c r="C519" s="0" t="s">
        <v>19</v>
      </c>
      <c r="F519" s="10" t="n">
        <f aca="false">5782+9028+43507</f>
        <v>58317</v>
      </c>
      <c r="G519" s="10" t="n">
        <f aca="false">5075+7482+40769</f>
        <v>53326</v>
      </c>
      <c r="H519" s="10" t="n">
        <f aca="false">3995+7174+37839</f>
        <v>49008</v>
      </c>
      <c r="I519" s="10" t="n">
        <f aca="false">791+2563+26146</f>
        <v>29500</v>
      </c>
      <c r="J519" s="10" t="n">
        <f aca="false">632+1727+16450</f>
        <v>18809</v>
      </c>
      <c r="K519" s="10" t="n">
        <f aca="false">602+1497+13439</f>
        <v>15538</v>
      </c>
      <c r="L519" s="10" t="n">
        <f aca="false">611+1402+12551</f>
        <v>14564</v>
      </c>
      <c r="M519" s="10" t="n">
        <f aca="false">611+1359+12546</f>
        <v>14516</v>
      </c>
      <c r="N519" s="10" t="n">
        <f aca="false">596+1358+11570</f>
        <v>13524</v>
      </c>
      <c r="O519" s="10" t="n">
        <f aca="false">556+996+14928</f>
        <v>16480</v>
      </c>
      <c r="P519" s="10" t="n">
        <f aca="false">536+754+18569</f>
        <v>19859</v>
      </c>
      <c r="Q519" s="10" t="n">
        <f aca="false">548+767+20604</f>
        <v>21919</v>
      </c>
      <c r="R519" s="10" t="n">
        <f aca="false">548+767+19194</f>
        <v>20509</v>
      </c>
      <c r="S519" s="10" t="n">
        <f aca="false">512+728+18612</f>
        <v>19852</v>
      </c>
      <c r="T519" s="10" t="n">
        <f aca="false">544+767+17898</f>
        <v>19209</v>
      </c>
      <c r="U519" s="6"/>
      <c r="V519" s="6"/>
      <c r="W519" s="6"/>
    </row>
    <row r="520" customFormat="false" ht="12.75" hidden="false" customHeight="false" outlineLevel="0" collapsed="false">
      <c r="A520" s="8"/>
      <c r="B520" s="8"/>
      <c r="C520" s="0" t="s">
        <v>19</v>
      </c>
      <c r="D520" s="8"/>
      <c r="E520" s="8"/>
      <c r="F520" s="10" t="n">
        <f aca="false">F519/31</f>
        <v>1881.1935483871</v>
      </c>
      <c r="G520" s="10" t="n">
        <f aca="false">G519/29</f>
        <v>1838.8275862069</v>
      </c>
      <c r="H520" s="10" t="n">
        <f aca="false">H519/31</f>
        <v>1580.90322580645</v>
      </c>
      <c r="I520" s="10" t="n">
        <f aca="false">I519/30</f>
        <v>983.333333333333</v>
      </c>
      <c r="J520" s="10" t="n">
        <f aca="false">J519/31</f>
        <v>606.741935483871</v>
      </c>
      <c r="K520" s="10" t="n">
        <f aca="false">K519/30</f>
        <v>517.933333333333</v>
      </c>
      <c r="L520" s="10" t="n">
        <f aca="false">L519/31</f>
        <v>469.806451612903</v>
      </c>
      <c r="M520" s="10" t="n">
        <f aca="false">M519/31</f>
        <v>468.258064516129</v>
      </c>
      <c r="N520" s="10" t="n">
        <f aca="false">N519/30</f>
        <v>450.8</v>
      </c>
      <c r="O520" s="10" t="n">
        <f aca="false">O519/31</f>
        <v>531.612903225807</v>
      </c>
      <c r="P520" s="10" t="n">
        <f aca="false">P519/30</f>
        <v>661.966666666667</v>
      </c>
      <c r="Q520" s="10" t="n">
        <f aca="false">Q519/31</f>
        <v>707.064516129032</v>
      </c>
      <c r="R520" s="10" t="n">
        <f aca="false">R519/31</f>
        <v>661.58064516129</v>
      </c>
      <c r="S520" s="10" t="n">
        <f aca="false">S519/28</f>
        <v>709</v>
      </c>
      <c r="T520" s="10" t="n">
        <f aca="false">T519/31</f>
        <v>619.645161290323</v>
      </c>
      <c r="U520" s="6"/>
      <c r="V520" s="6"/>
      <c r="W520" s="6"/>
    </row>
    <row r="521" customFormat="false" ht="12.75" hidden="false" customHeight="false" outlineLevel="0" collapsed="false">
      <c r="A521" s="1"/>
      <c r="B521" s="1"/>
      <c r="C521" s="0" t="s">
        <v>20</v>
      </c>
      <c r="F521" s="6" t="n">
        <v>572</v>
      </c>
      <c r="G521" s="6" t="n">
        <v>572</v>
      </c>
      <c r="H521" s="6" t="n">
        <v>572</v>
      </c>
      <c r="I521" s="6" t="n">
        <v>572</v>
      </c>
      <c r="J521" s="6" t="n">
        <v>572</v>
      </c>
      <c r="K521" s="6" t="n">
        <v>572</v>
      </c>
      <c r="L521" s="6" t="n">
        <v>572</v>
      </c>
      <c r="M521" s="6" t="n">
        <v>572</v>
      </c>
      <c r="N521" s="6" t="n">
        <v>572</v>
      </c>
      <c r="O521" s="6" t="n">
        <v>572</v>
      </c>
      <c r="P521" s="6" t="n">
        <v>572</v>
      </c>
      <c r="Q521" s="6" t="n">
        <v>572</v>
      </c>
      <c r="R521" s="6" t="n">
        <v>572</v>
      </c>
      <c r="S521" s="6" t="n">
        <v>572</v>
      </c>
      <c r="T521" s="6" t="n">
        <v>572</v>
      </c>
      <c r="U521" s="6"/>
      <c r="V521" s="6"/>
      <c r="W521" s="6"/>
    </row>
    <row r="522" customFormat="false" ht="12.75" hidden="false" customHeight="false" outlineLevel="0" collapsed="false">
      <c r="A522" s="1"/>
      <c r="B522" s="1"/>
      <c r="C522" s="0" t="s">
        <v>22</v>
      </c>
      <c r="F522" s="4" t="s">
        <v>131</v>
      </c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</row>
    <row r="523" customFormat="false" ht="12.75" hidden="false" customHeight="false" outlineLevel="0" collapsed="false">
      <c r="A523" s="1"/>
      <c r="B523" s="1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</row>
    <row r="524" customFormat="false" ht="12.75" hidden="false" customHeight="false" outlineLevel="0" collapsed="false">
      <c r="A524" s="1" t="s">
        <v>132</v>
      </c>
      <c r="B524" s="1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</row>
    <row r="525" customFormat="false" ht="12.75" hidden="false" customHeight="false" outlineLevel="0" collapsed="false">
      <c r="A525" s="1"/>
      <c r="B525" s="1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 customFormat="false" ht="12.75" hidden="false" customHeight="false" outlineLevel="0" collapsed="false">
      <c r="A526" s="1"/>
      <c r="B526" s="1" t="s">
        <v>123</v>
      </c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</row>
    <row r="527" customFormat="false" ht="12.75" hidden="false" customHeight="false" outlineLevel="0" collapsed="false">
      <c r="A527" s="1"/>
      <c r="B527" s="1"/>
      <c r="D527" s="0" t="s">
        <v>114</v>
      </c>
      <c r="F527" s="4" t="n">
        <v>0</v>
      </c>
      <c r="G527" s="4" t="n">
        <v>0</v>
      </c>
      <c r="H527" s="4" t="n">
        <v>0</v>
      </c>
      <c r="I527" s="4" t="n">
        <v>0</v>
      </c>
      <c r="J527" s="4" t="n">
        <v>0</v>
      </c>
      <c r="K527" s="4" t="n">
        <v>0</v>
      </c>
      <c r="L527" s="4" t="n">
        <v>0</v>
      </c>
      <c r="M527" s="4" t="n">
        <v>0</v>
      </c>
      <c r="N527" s="4" t="n">
        <v>0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0</v>
      </c>
      <c r="T527" s="4" t="n">
        <v>0</v>
      </c>
    </row>
    <row r="528" customFormat="false" ht="12.75" hidden="false" customHeight="false" outlineLevel="0" collapsed="false">
      <c r="A528" s="1"/>
      <c r="B528" s="1"/>
      <c r="D528" s="0" t="s">
        <v>115</v>
      </c>
      <c r="F528" s="4" t="n">
        <v>0</v>
      </c>
      <c r="G528" s="4" t="n">
        <v>0</v>
      </c>
      <c r="H528" s="4" t="n">
        <v>0</v>
      </c>
      <c r="I528" s="4" t="n">
        <v>0</v>
      </c>
      <c r="J528" s="4" t="n">
        <v>0</v>
      </c>
      <c r="K528" s="4" t="n">
        <v>0</v>
      </c>
      <c r="L528" s="4" t="n">
        <v>0</v>
      </c>
      <c r="M528" s="4" t="n">
        <v>0</v>
      </c>
      <c r="N528" s="4" t="n">
        <v>0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0</v>
      </c>
      <c r="T528" s="4" t="n">
        <v>0</v>
      </c>
    </row>
    <row r="529" customFormat="false" ht="12.75" hidden="false" customHeight="false" outlineLevel="0" collapsed="false">
      <c r="A529" s="1"/>
      <c r="B529" s="1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 customFormat="false" ht="12.75" hidden="false" customHeight="false" outlineLevel="0" collapsed="false">
      <c r="A530" s="1"/>
      <c r="B530" s="1"/>
      <c r="C530" s="0" t="s">
        <v>19</v>
      </c>
      <c r="F530" s="6" t="n">
        <v>0</v>
      </c>
      <c r="G530" s="6" t="n">
        <v>0</v>
      </c>
      <c r="H530" s="6" t="n">
        <v>0</v>
      </c>
      <c r="I530" s="6" t="n">
        <v>0</v>
      </c>
      <c r="J530" s="6" t="n">
        <v>0</v>
      </c>
      <c r="K530" s="6" t="n">
        <v>0</v>
      </c>
      <c r="L530" s="6" t="n">
        <v>0</v>
      </c>
      <c r="M530" s="6" t="n">
        <v>0</v>
      </c>
      <c r="N530" s="6" t="n">
        <v>0</v>
      </c>
      <c r="O530" s="6" t="n">
        <v>0</v>
      </c>
      <c r="P530" s="6" t="n">
        <v>0</v>
      </c>
      <c r="Q530" s="6" t="n">
        <v>0</v>
      </c>
      <c r="R530" s="6" t="n">
        <v>0</v>
      </c>
      <c r="S530" s="6" t="n">
        <v>0</v>
      </c>
      <c r="T530" s="6" t="n">
        <v>0</v>
      </c>
    </row>
    <row r="531" customFormat="false" ht="12.75" hidden="false" customHeight="false" outlineLevel="0" collapsed="false">
      <c r="A531" s="1"/>
      <c r="B531" s="1"/>
      <c r="C531" s="0" t="s">
        <v>20</v>
      </c>
      <c r="F531" s="6" t="n">
        <v>453</v>
      </c>
      <c r="G531" s="6" t="n">
        <v>453</v>
      </c>
      <c r="H531" s="6" t="n">
        <v>453</v>
      </c>
      <c r="I531" s="6" t="n">
        <v>453</v>
      </c>
      <c r="J531" s="6" t="n">
        <v>453</v>
      </c>
      <c r="K531" s="6" t="n">
        <v>0</v>
      </c>
      <c r="L531" s="6" t="n">
        <v>0</v>
      </c>
      <c r="M531" s="6" t="n">
        <v>0</v>
      </c>
      <c r="N531" s="6" t="n">
        <v>0</v>
      </c>
      <c r="O531" s="6" t="n">
        <v>0</v>
      </c>
      <c r="P531" s="6" t="n">
        <v>0</v>
      </c>
      <c r="Q531" s="6" t="n">
        <v>0</v>
      </c>
      <c r="R531" s="6" t="n">
        <v>0</v>
      </c>
      <c r="S531" s="6" t="n">
        <v>0</v>
      </c>
      <c r="T531" s="6" t="n">
        <v>0</v>
      </c>
    </row>
    <row r="532" customFormat="false" ht="12.75" hidden="false" customHeight="false" outlineLevel="0" collapsed="false">
      <c r="A532" s="1"/>
      <c r="B532" s="1"/>
      <c r="C532" s="0" t="s">
        <v>22</v>
      </c>
      <c r="F532" s="4" t="s">
        <v>133</v>
      </c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 customFormat="false" ht="12.75" hidden="false" customHeight="false" outlineLevel="0" collapsed="false">
      <c r="A533" s="1"/>
      <c r="B533" s="1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 customFormat="false" ht="12.75" hidden="false" customHeight="false" outlineLevel="0" collapsed="false">
      <c r="A534" s="1"/>
      <c r="B534" s="1" t="s">
        <v>134</v>
      </c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</row>
    <row r="535" customFormat="false" ht="12.75" hidden="false" customHeight="false" outlineLevel="0" collapsed="false">
      <c r="A535" s="1"/>
      <c r="B535" s="1"/>
      <c r="D535" s="0" t="s">
        <v>135</v>
      </c>
      <c r="F535" s="4" t="n">
        <v>0.2</v>
      </c>
      <c r="G535" s="4" t="n">
        <v>0.2</v>
      </c>
      <c r="H535" s="4" t="n">
        <v>0.2</v>
      </c>
      <c r="I535" s="4" t="n">
        <v>0.1</v>
      </c>
      <c r="J535" s="4" t="n">
        <v>0.1</v>
      </c>
      <c r="K535" s="4" t="n">
        <v>0.1</v>
      </c>
      <c r="L535" s="4" t="n">
        <v>0.1</v>
      </c>
      <c r="M535" s="4" t="n">
        <v>0.1</v>
      </c>
      <c r="N535" s="4" t="n">
        <v>0.1</v>
      </c>
      <c r="O535" s="4" t="n">
        <v>0.1</v>
      </c>
      <c r="P535" s="4" t="n">
        <v>0.25</v>
      </c>
      <c r="Q535" s="4" t="n">
        <v>0.25</v>
      </c>
      <c r="R535" s="4" t="n">
        <v>0.25</v>
      </c>
      <c r="S535" s="4" t="n">
        <v>0.25</v>
      </c>
      <c r="T535" s="4" t="n">
        <v>0.25</v>
      </c>
    </row>
    <row r="536" customFormat="false" ht="12.75" hidden="false" customHeight="false" outlineLevel="0" collapsed="false">
      <c r="A536" s="1"/>
      <c r="B536" s="1"/>
      <c r="D536" s="0" t="s">
        <v>136</v>
      </c>
      <c r="F536" s="4" t="n">
        <v>0</v>
      </c>
      <c r="G536" s="4" t="n">
        <v>0</v>
      </c>
      <c r="H536" s="4" t="n">
        <v>0</v>
      </c>
      <c r="I536" s="4" t="n">
        <v>0</v>
      </c>
      <c r="J536" s="4" t="n">
        <v>0</v>
      </c>
      <c r="K536" s="4" t="n">
        <v>0</v>
      </c>
      <c r="L536" s="4" t="n">
        <v>0</v>
      </c>
      <c r="M536" s="4" t="n">
        <v>0</v>
      </c>
      <c r="N536" s="4" t="n">
        <v>0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0</v>
      </c>
      <c r="T536" s="4" t="n">
        <v>0</v>
      </c>
    </row>
    <row r="537" customFormat="false" ht="12.75" hidden="false" customHeight="false" outlineLevel="0" collapsed="false">
      <c r="A537" s="1"/>
      <c r="B537" s="1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</row>
    <row r="538" customFormat="false" ht="12.75" hidden="true" customHeight="false" outlineLevel="0" collapsed="false">
      <c r="A538" s="1"/>
      <c r="B538" s="1"/>
      <c r="C538" s="0" t="s">
        <v>137</v>
      </c>
      <c r="F538" s="10" t="n">
        <f aca="false">997+1560+605+9069+620+688+38419+10075+1856+1000</f>
        <v>64889</v>
      </c>
      <c r="G538" s="10" t="n">
        <f aca="false">949+1435+605+8556+600+700+38361+1758+565</f>
        <v>53529</v>
      </c>
      <c r="H538" s="10" t="n">
        <f aca="false">817+1300+500+610+400+29526+2507+588</f>
        <v>36248</v>
      </c>
      <c r="I538" s="10" t="n">
        <f aca="false">280+400+600+26346+2829+588</f>
        <v>31043</v>
      </c>
      <c r="J538" s="10" t="n">
        <f aca="false">96+300+580+24552+2930+567</f>
        <v>29025</v>
      </c>
      <c r="K538" s="10" t="n">
        <f aca="false">53+200+400+24487+1201+536</f>
        <v>26877</v>
      </c>
      <c r="L538" s="10" t="n">
        <f aca="false">51+100+350+22943+984+652</f>
        <v>25080</v>
      </c>
      <c r="M538" s="10" t="n">
        <f aca="false">49+100+350+24562+1131+621</f>
        <v>26813</v>
      </c>
      <c r="N538" s="10" t="n">
        <f aca="false">56+120+300+24633+1183+450</f>
        <v>26742</v>
      </c>
      <c r="O538" s="10" t="n">
        <f aca="false">64+300+400+27441+3060+465</f>
        <v>31730</v>
      </c>
      <c r="P538" s="10" t="n">
        <f aca="false">350+450+6203+480</f>
        <v>7483</v>
      </c>
      <c r="Q538" s="10" t="n">
        <f aca="false">605+600+7503+550</f>
        <v>9258</v>
      </c>
      <c r="R538" s="10" t="n">
        <f aca="false">605+620+8433</f>
        <v>9658</v>
      </c>
      <c r="S538" s="10" t="n">
        <f aca="false">605+580+5925</f>
        <v>7110</v>
      </c>
      <c r="T538" s="10" t="n">
        <f aca="false">500+4579</f>
        <v>5079</v>
      </c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</row>
    <row r="539" customFormat="false" ht="12.75" hidden="false" customHeight="false" outlineLevel="0" collapsed="false">
      <c r="A539" s="8"/>
      <c r="B539" s="8"/>
      <c r="C539" s="0" t="s">
        <v>19</v>
      </c>
      <c r="D539" s="8"/>
      <c r="E539" s="8"/>
      <c r="F539" s="10" t="n">
        <f aca="false">F538/31</f>
        <v>2093.1935483871</v>
      </c>
      <c r="G539" s="10" t="n">
        <f aca="false">G538/29</f>
        <v>1845.8275862069</v>
      </c>
      <c r="H539" s="10" t="n">
        <f aca="false">H538/31</f>
        <v>1169.29032258065</v>
      </c>
      <c r="I539" s="10" t="n">
        <f aca="false">I538/30</f>
        <v>1034.76666666667</v>
      </c>
      <c r="J539" s="10" t="n">
        <f aca="false">J538/31</f>
        <v>936.290322580645</v>
      </c>
      <c r="K539" s="10" t="n">
        <f aca="false">K538/30</f>
        <v>895.9</v>
      </c>
      <c r="L539" s="10" t="n">
        <f aca="false">L538/31</f>
        <v>809.032258064516</v>
      </c>
      <c r="M539" s="10" t="n">
        <f aca="false">M538/31</f>
        <v>864.935483870968</v>
      </c>
      <c r="N539" s="10" t="n">
        <f aca="false">N538/30</f>
        <v>891.4</v>
      </c>
      <c r="O539" s="10" t="n">
        <f aca="false">O538/31</f>
        <v>1023.54838709677</v>
      </c>
      <c r="P539" s="10" t="n">
        <f aca="false">P538/30</f>
        <v>249.433333333333</v>
      </c>
      <c r="Q539" s="10" t="n">
        <f aca="false">Q538/31</f>
        <v>298.645161290323</v>
      </c>
      <c r="R539" s="10" t="n">
        <f aca="false">R538/31</f>
        <v>311.548387096774</v>
      </c>
      <c r="S539" s="10" t="n">
        <f aca="false">S538/28</f>
        <v>253.928571428571</v>
      </c>
      <c r="T539" s="10" t="n">
        <f aca="false">T538/31</f>
        <v>163.838709677419</v>
      </c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</row>
    <row r="540" customFormat="false" ht="12.75" hidden="false" customHeight="false" outlineLevel="0" collapsed="false">
      <c r="A540" s="1"/>
      <c r="B540" s="1"/>
      <c r="C540" s="0" t="s">
        <v>20</v>
      </c>
      <c r="F540" s="6" t="n">
        <v>28</v>
      </c>
      <c r="G540" s="6" t="n">
        <v>28</v>
      </c>
      <c r="H540" s="6" t="n">
        <v>28</v>
      </c>
      <c r="I540" s="6" t="n">
        <v>28</v>
      </c>
      <c r="J540" s="6" t="n">
        <v>28</v>
      </c>
      <c r="K540" s="6" t="n">
        <v>28</v>
      </c>
      <c r="L540" s="6" t="n">
        <v>28</v>
      </c>
      <c r="M540" s="6" t="n">
        <v>28</v>
      </c>
      <c r="N540" s="6" t="n">
        <v>28</v>
      </c>
      <c r="O540" s="6" t="n">
        <v>28</v>
      </c>
      <c r="P540" s="6" t="n">
        <v>0</v>
      </c>
      <c r="Q540" s="6" t="n">
        <v>0</v>
      </c>
      <c r="R540" s="6" t="n">
        <v>0</v>
      </c>
      <c r="S540" s="6" t="n">
        <v>0</v>
      </c>
      <c r="T540" s="6" t="n">
        <v>0</v>
      </c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</row>
    <row r="541" customFormat="false" ht="12.75" hidden="false" customHeight="false" outlineLevel="0" collapsed="false">
      <c r="A541" s="1"/>
      <c r="B541" s="1"/>
      <c r="C541" s="0" t="s">
        <v>22</v>
      </c>
      <c r="F541" s="4" t="s">
        <v>138</v>
      </c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</row>
    <row r="542" customFormat="false" ht="12.75" hidden="false" customHeight="false" outlineLevel="0" collapsed="false">
      <c r="A542" s="1"/>
      <c r="B542" s="1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</row>
    <row r="543" customFormat="false" ht="12.75" hidden="false" customHeight="false" outlineLevel="0" collapsed="false">
      <c r="A543" s="1"/>
      <c r="B543" s="1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</row>
    <row r="544" customFormat="false" ht="12.75" hidden="false" customHeight="false" outlineLevel="0" collapsed="false">
      <c r="A544" s="1" t="s">
        <v>139</v>
      </c>
      <c r="B544" s="1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</row>
    <row r="545" customFormat="false" ht="12.75" hidden="false" customHeight="false" outlineLevel="0" collapsed="false">
      <c r="A545" s="1"/>
      <c r="B545" s="1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</row>
    <row r="546" customFormat="false" ht="12.75" hidden="false" customHeight="false" outlineLevel="0" collapsed="false">
      <c r="A546" s="1"/>
      <c r="B546" s="1"/>
      <c r="D546" s="0" t="s">
        <v>140</v>
      </c>
      <c r="F546" s="4" t="n">
        <v>0</v>
      </c>
      <c r="G546" s="4" t="n">
        <v>0</v>
      </c>
      <c r="H546" s="4" t="n">
        <v>0</v>
      </c>
      <c r="I546" s="4" t="n">
        <v>0</v>
      </c>
      <c r="J546" s="4" t="n">
        <v>0</v>
      </c>
      <c r="K546" s="4" t="n">
        <v>0</v>
      </c>
      <c r="L546" s="4" t="n">
        <v>0</v>
      </c>
      <c r="M546" s="4" t="n">
        <v>0</v>
      </c>
      <c r="N546" s="4" t="n">
        <v>0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0</v>
      </c>
      <c r="T546" s="4" t="n">
        <v>0</v>
      </c>
    </row>
    <row r="547" customFormat="false" ht="12.75" hidden="false" customHeight="false" outlineLevel="0" collapsed="false">
      <c r="A547" s="1"/>
      <c r="B547" s="1"/>
      <c r="D547" s="0" t="s">
        <v>141</v>
      </c>
      <c r="F547" s="4" t="n">
        <v>0</v>
      </c>
      <c r="G547" s="4" t="n">
        <v>0</v>
      </c>
      <c r="H547" s="4" t="n">
        <v>0</v>
      </c>
      <c r="I547" s="4" t="n">
        <v>0</v>
      </c>
      <c r="J547" s="4" t="n">
        <v>0</v>
      </c>
      <c r="K547" s="4" t="n">
        <v>0</v>
      </c>
      <c r="L547" s="4" t="n">
        <v>0</v>
      </c>
      <c r="M547" s="4" t="n">
        <v>0</v>
      </c>
      <c r="N547" s="4" t="n">
        <v>0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0</v>
      </c>
      <c r="T547" s="4" t="n">
        <v>0</v>
      </c>
    </row>
    <row r="548" customFormat="false" ht="12.75" hidden="false" customHeight="false" outlineLevel="0" collapsed="false">
      <c r="A548" s="1"/>
      <c r="B548" s="1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</row>
    <row r="549" customFormat="false" ht="12.75" hidden="true" customHeight="false" outlineLevel="0" collapsed="false">
      <c r="A549" s="1"/>
      <c r="B549" s="1"/>
      <c r="C549" s="0" t="s">
        <v>137</v>
      </c>
      <c r="F549" s="10" t="n">
        <v>0</v>
      </c>
      <c r="G549" s="10" t="n">
        <v>0</v>
      </c>
      <c r="H549" s="10" t="n">
        <v>0</v>
      </c>
      <c r="I549" s="10" t="n">
        <v>0</v>
      </c>
      <c r="J549" s="10" t="n">
        <v>0</v>
      </c>
      <c r="K549" s="10" t="n">
        <v>0</v>
      </c>
      <c r="L549" s="10" t="n">
        <v>0</v>
      </c>
      <c r="M549" s="10" t="n">
        <v>0</v>
      </c>
      <c r="N549" s="10" t="n">
        <v>0</v>
      </c>
      <c r="O549" s="10" t="n">
        <v>0</v>
      </c>
      <c r="P549" s="10" t="n">
        <v>0</v>
      </c>
      <c r="Q549" s="10" t="n">
        <v>0</v>
      </c>
      <c r="R549" s="10" t="n">
        <v>0</v>
      </c>
      <c r="S549" s="10" t="n">
        <v>0</v>
      </c>
      <c r="T549" s="10" t="n">
        <v>0</v>
      </c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</row>
    <row r="550" customFormat="false" ht="12.75" hidden="false" customHeight="false" outlineLevel="0" collapsed="false">
      <c r="A550" s="8"/>
      <c r="B550" s="8"/>
      <c r="C550" s="0" t="s">
        <v>21</v>
      </c>
      <c r="D550" s="8"/>
      <c r="E550" s="8"/>
      <c r="F550" s="10" t="n">
        <v>4115</v>
      </c>
      <c r="G550" s="10" t="n">
        <v>4061</v>
      </c>
      <c r="H550" s="10" t="n">
        <v>3641</v>
      </c>
      <c r="I550" s="10" t="n">
        <v>2617</v>
      </c>
      <c r="J550" s="10" t="n">
        <f aca="false">J549/31</f>
        <v>0</v>
      </c>
      <c r="K550" s="10" t="n">
        <f aca="false">K549/30</f>
        <v>0</v>
      </c>
      <c r="L550" s="10" t="n">
        <f aca="false">L549/31</f>
        <v>0</v>
      </c>
      <c r="M550" s="10" t="n">
        <f aca="false">M549/31</f>
        <v>0</v>
      </c>
      <c r="N550" s="10" t="n">
        <f aca="false">N549/30</f>
        <v>0</v>
      </c>
      <c r="O550" s="10" t="n">
        <v>1016</v>
      </c>
      <c r="P550" s="10" t="n">
        <v>1183</v>
      </c>
      <c r="Q550" s="10" t="n">
        <v>1155</v>
      </c>
      <c r="R550" s="10" t="n">
        <v>1112</v>
      </c>
      <c r="S550" s="10" t="n">
        <v>1041</v>
      </c>
      <c r="T550" s="10" t="n">
        <v>1037</v>
      </c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</row>
    <row r="551" customFormat="false" ht="12.75" hidden="false" customHeight="false" outlineLevel="0" collapsed="false">
      <c r="A551" s="1"/>
      <c r="B551" s="1"/>
      <c r="C551" s="0" t="s">
        <v>20</v>
      </c>
      <c r="F551" s="6" t="n">
        <v>3843</v>
      </c>
      <c r="G551" s="6" t="n">
        <v>3843</v>
      </c>
      <c r="H551" s="6" t="n">
        <v>3843</v>
      </c>
      <c r="I551" s="6" t="n">
        <v>3843</v>
      </c>
      <c r="J551" s="6" t="n">
        <v>3843</v>
      </c>
      <c r="K551" s="6" t="n">
        <v>3843</v>
      </c>
      <c r="L551" s="6" t="n">
        <v>3843</v>
      </c>
      <c r="M551" s="6" t="n">
        <v>3843</v>
      </c>
      <c r="N551" s="6" t="n">
        <v>3843</v>
      </c>
      <c r="O551" s="6" t="n">
        <v>3843</v>
      </c>
      <c r="P551" s="6" t="n">
        <v>3843</v>
      </c>
      <c r="Q551" s="6" t="n">
        <v>3843</v>
      </c>
      <c r="R551" s="6" t="n">
        <v>3843</v>
      </c>
      <c r="S551" s="6" t="n">
        <v>3843</v>
      </c>
      <c r="T551" s="6" t="n">
        <v>3843</v>
      </c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</row>
    <row r="552" customFormat="false" ht="12.75" hidden="false" customHeight="false" outlineLevel="0" collapsed="false">
      <c r="A552" s="1"/>
      <c r="B552" s="1"/>
      <c r="C552" s="0" t="s">
        <v>22</v>
      </c>
      <c r="F552" s="4" t="s">
        <v>138</v>
      </c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</row>
    <row r="553" customFormat="false" ht="12.75" hidden="false" customHeight="false" outlineLevel="0" collapsed="false">
      <c r="A553" s="1"/>
      <c r="B553" s="1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</row>
    <row r="554" customFormat="false" ht="12.75" hidden="false" customHeight="false" outlineLevel="0" collapsed="false">
      <c r="A554" s="1" t="s">
        <v>142</v>
      </c>
      <c r="B554" s="1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</row>
    <row r="555" customFormat="false" ht="12.75" hidden="false" customHeight="false" outlineLevel="0" collapsed="false">
      <c r="A555" s="1"/>
      <c r="B555" s="1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</row>
    <row r="556" customFormat="false" ht="12.75" hidden="false" customHeight="false" outlineLevel="0" collapsed="false">
      <c r="A556" s="1"/>
      <c r="B556" s="1"/>
      <c r="D556" s="0" t="s">
        <v>114</v>
      </c>
      <c r="F556" s="4" t="n">
        <v>0.2</v>
      </c>
      <c r="G556" s="4" t="n">
        <v>0.2</v>
      </c>
      <c r="H556" s="4" t="n">
        <v>0.2</v>
      </c>
      <c r="I556" s="4" t="n">
        <v>0.1</v>
      </c>
      <c r="J556" s="4" t="n">
        <v>0.1</v>
      </c>
      <c r="K556" s="4" t="n">
        <v>0.1</v>
      </c>
      <c r="L556" s="4" t="n">
        <v>0.1</v>
      </c>
      <c r="M556" s="4" t="n">
        <v>0.1</v>
      </c>
      <c r="N556" s="4" t="n">
        <v>0.1</v>
      </c>
      <c r="O556" s="4" t="n">
        <v>0.1</v>
      </c>
      <c r="P556" s="4" t="n">
        <v>0.25</v>
      </c>
      <c r="Q556" s="4" t="n">
        <v>0.25</v>
      </c>
      <c r="R556" s="4" t="n">
        <v>0.25</v>
      </c>
      <c r="S556" s="4" t="n">
        <v>0.25</v>
      </c>
      <c r="T556" s="4" t="n">
        <v>0.25</v>
      </c>
    </row>
    <row r="557" customFormat="false" ht="12.75" hidden="false" customHeight="false" outlineLevel="0" collapsed="false">
      <c r="A557" s="1"/>
      <c r="B557" s="1"/>
      <c r="D557" s="0" t="s">
        <v>143</v>
      </c>
      <c r="F557" s="4" t="n">
        <v>0</v>
      </c>
      <c r="G557" s="4" t="n">
        <v>0</v>
      </c>
      <c r="H557" s="4" t="n">
        <v>0</v>
      </c>
      <c r="I557" s="4" t="n">
        <v>0</v>
      </c>
      <c r="J557" s="4" t="n">
        <v>0</v>
      </c>
      <c r="K557" s="4" t="n">
        <v>0</v>
      </c>
      <c r="L557" s="4" t="n">
        <v>0</v>
      </c>
      <c r="M557" s="4" t="n">
        <v>0</v>
      </c>
      <c r="N557" s="4" t="n">
        <v>0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0</v>
      </c>
      <c r="T557" s="4" t="n">
        <v>0</v>
      </c>
    </row>
    <row r="558" customFormat="false" ht="12.75" hidden="false" customHeight="false" outlineLevel="0" collapsed="false">
      <c r="A558" s="1"/>
      <c r="B558" s="1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</row>
    <row r="559" customFormat="false" ht="12.75" hidden="true" customHeight="false" outlineLevel="0" collapsed="false">
      <c r="A559" s="1"/>
      <c r="B559" s="1"/>
      <c r="C559" s="0" t="s">
        <v>137</v>
      </c>
      <c r="F559" s="10" t="n">
        <f aca="false">90+56267+3102+650+8600+72</f>
        <v>68781</v>
      </c>
      <c r="G559" s="10" t="n">
        <f aca="false">10+52659+1219+650+8000+68</f>
        <v>62606</v>
      </c>
      <c r="H559" s="10" t="n">
        <f aca="false">6+4291+1143+650+7500+67</f>
        <v>13657</v>
      </c>
      <c r="I559" s="10" t="n">
        <f aca="false">4+4792+1226+650+7000+76</f>
        <v>13748</v>
      </c>
      <c r="J559" s="10" t="n">
        <f aca="false">16+5486+10350+650+7000+68</f>
        <v>23570</v>
      </c>
      <c r="K559" s="10" t="n">
        <f aca="false">32+8205+3726+650+7020+71</f>
        <v>19704</v>
      </c>
      <c r="L559" s="10" t="n">
        <f aca="false">8377+3555+650+8000</f>
        <v>20582</v>
      </c>
      <c r="M559" s="10" t="n">
        <f aca="false">13012+5085+650+8000</f>
        <v>26747</v>
      </c>
      <c r="N559" s="10" t="n">
        <f aca="false">11510+6478+650+8500</f>
        <v>27138</v>
      </c>
      <c r="O559" s="10" t="n">
        <f aca="false">9140+5779+650+8500</f>
        <v>24069</v>
      </c>
      <c r="P559" s="10" t="n">
        <f aca="false">3718+650+7000</f>
        <v>11368</v>
      </c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</row>
    <row r="560" customFormat="false" ht="12.75" hidden="false" customHeight="false" outlineLevel="0" collapsed="false">
      <c r="A560" s="8"/>
      <c r="B560" s="8"/>
      <c r="C560" s="0" t="s">
        <v>19</v>
      </c>
      <c r="D560" s="8"/>
      <c r="E560" s="8"/>
      <c r="F560" s="10" t="n">
        <f aca="false">F559/31</f>
        <v>2218.74193548387</v>
      </c>
      <c r="G560" s="10" t="n">
        <f aca="false">G559/29</f>
        <v>2158.8275862069</v>
      </c>
      <c r="H560" s="10" t="n">
        <f aca="false">H559/31</f>
        <v>440.548387096774</v>
      </c>
      <c r="I560" s="10" t="n">
        <f aca="false">I559/30</f>
        <v>458.266666666667</v>
      </c>
      <c r="J560" s="10" t="n">
        <f aca="false">J559/31</f>
        <v>760.322580645161</v>
      </c>
      <c r="K560" s="10" t="n">
        <f aca="false">K559/30</f>
        <v>656.8</v>
      </c>
      <c r="L560" s="10" t="n">
        <f aca="false">L559/31</f>
        <v>663.935483870968</v>
      </c>
      <c r="M560" s="10" t="n">
        <f aca="false">M559/31</f>
        <v>862.806451612903</v>
      </c>
      <c r="N560" s="10" t="n">
        <f aca="false">N559/30</f>
        <v>904.6</v>
      </c>
      <c r="O560" s="10" t="n">
        <f aca="false">O559/31</f>
        <v>776.41935483871</v>
      </c>
      <c r="P560" s="10" t="n">
        <f aca="false">P559/30</f>
        <v>378.933333333333</v>
      </c>
      <c r="Q560" s="10" t="n">
        <f aca="false">Q559/31</f>
        <v>0</v>
      </c>
      <c r="R560" s="10" t="n">
        <f aca="false">R559/31</f>
        <v>0</v>
      </c>
      <c r="S560" s="10" t="n">
        <f aca="false">S559/28</f>
        <v>0</v>
      </c>
      <c r="T560" s="10" t="n">
        <f aca="false">T559/31</f>
        <v>0</v>
      </c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</row>
    <row r="561" customFormat="false" ht="12.75" hidden="false" customHeight="false" outlineLevel="0" collapsed="false">
      <c r="A561" s="1"/>
      <c r="B561" s="1"/>
      <c r="C561" s="0" t="s">
        <v>20</v>
      </c>
      <c r="E561" s="8"/>
      <c r="F561" s="6" t="n">
        <v>355</v>
      </c>
      <c r="G561" s="6" t="n">
        <v>355</v>
      </c>
      <c r="H561" s="6" t="n">
        <v>355</v>
      </c>
      <c r="I561" s="6" t="n">
        <v>355</v>
      </c>
      <c r="J561" s="6" t="n">
        <v>355</v>
      </c>
      <c r="K561" s="6" t="n">
        <v>355</v>
      </c>
      <c r="L561" s="6" t="n">
        <v>355</v>
      </c>
      <c r="M561" s="6" t="n">
        <v>355</v>
      </c>
      <c r="N561" s="6" t="n">
        <v>355</v>
      </c>
      <c r="O561" s="6" t="n">
        <v>355</v>
      </c>
      <c r="P561" s="6" t="n">
        <v>263</v>
      </c>
      <c r="Q561" s="6" t="n">
        <v>263</v>
      </c>
      <c r="R561" s="6" t="n">
        <v>263</v>
      </c>
      <c r="S561" s="6" t="n">
        <v>263</v>
      </c>
      <c r="T561" s="6" t="n">
        <v>263</v>
      </c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</row>
    <row r="562" customFormat="false" ht="12.75" hidden="false" customHeight="false" outlineLevel="0" collapsed="false">
      <c r="A562" s="1"/>
      <c r="B562" s="1"/>
      <c r="C562" s="0" t="s">
        <v>22</v>
      </c>
      <c r="F562" s="4" t="s">
        <v>138</v>
      </c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</row>
    <row r="563" customFormat="false" ht="12.75" hidden="false" customHeight="false" outlineLevel="0" collapsed="false">
      <c r="A563" s="1"/>
      <c r="B563" s="1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</row>
    <row r="564" customFormat="false" ht="12.75" hidden="false" customHeight="false" outlineLevel="0" collapsed="false">
      <c r="A564" s="1"/>
      <c r="B564" s="1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</row>
    <row r="565" customFormat="false" ht="12.75" hidden="false" customHeight="false" outlineLevel="0" collapsed="false">
      <c r="A565" s="1" t="s">
        <v>144</v>
      </c>
      <c r="B565" s="1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</row>
    <row r="566" customFormat="false" ht="12.75" hidden="false" customHeight="false" outlineLevel="0" collapsed="false">
      <c r="A566" s="1"/>
      <c r="B566" s="1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</row>
    <row r="567" customFormat="false" ht="12.75" hidden="false" customHeight="false" outlineLevel="0" collapsed="false">
      <c r="A567" s="1"/>
      <c r="B567" s="1"/>
      <c r="D567" s="0" t="s">
        <v>145</v>
      </c>
      <c r="F567" s="4" t="s">
        <v>146</v>
      </c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</row>
    <row r="568" customFormat="false" ht="12.75" hidden="false" customHeight="false" outlineLevel="0" collapsed="false">
      <c r="A568" s="1"/>
      <c r="B568" s="1"/>
      <c r="D568" s="0" t="s">
        <v>141</v>
      </c>
      <c r="F568" s="4" t="s">
        <v>147</v>
      </c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</row>
    <row r="569" customFormat="false" ht="12.75" hidden="false" customHeight="false" outlineLevel="0" collapsed="false">
      <c r="A569" s="1"/>
      <c r="B569" s="1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</row>
    <row r="570" customFormat="false" ht="12.75" hidden="false" customHeight="false" outlineLevel="0" collapsed="false">
      <c r="A570" s="1"/>
      <c r="B570" s="1"/>
      <c r="C570" s="0" t="s">
        <v>137</v>
      </c>
      <c r="F570" s="7" t="n">
        <v>4500</v>
      </c>
      <c r="G570" s="7" t="n">
        <v>4500</v>
      </c>
      <c r="H570" s="7" t="n">
        <v>4500</v>
      </c>
      <c r="I570" s="7" t="n">
        <v>4200</v>
      </c>
      <c r="J570" s="7" t="n">
        <v>4200</v>
      </c>
      <c r="K570" s="7" t="n">
        <v>4200</v>
      </c>
      <c r="L570" s="7" t="n">
        <v>4200</v>
      </c>
      <c r="M570" s="7" t="n">
        <v>4200</v>
      </c>
      <c r="N570" s="7" t="n">
        <v>4200</v>
      </c>
      <c r="O570" s="7" t="n">
        <v>4200</v>
      </c>
      <c r="P570" s="6" t="n">
        <v>0</v>
      </c>
      <c r="Q570" s="6" t="n">
        <v>0</v>
      </c>
      <c r="R570" s="6" t="n">
        <v>0</v>
      </c>
      <c r="S570" s="6" t="n">
        <v>0</v>
      </c>
      <c r="T570" s="6" t="n">
        <v>0</v>
      </c>
    </row>
    <row r="571" customFormat="false" ht="12.75" hidden="false" customHeight="false" outlineLevel="0" collapsed="false">
      <c r="A571" s="1"/>
      <c r="B571" s="1"/>
      <c r="C571" s="0" t="s">
        <v>20</v>
      </c>
      <c r="F571" s="6" t="n">
        <v>0</v>
      </c>
      <c r="G571" s="6" t="n">
        <v>0</v>
      </c>
      <c r="H571" s="6" t="n">
        <v>0</v>
      </c>
      <c r="I571" s="6" t="n">
        <v>0</v>
      </c>
      <c r="J571" s="6" t="n">
        <v>0</v>
      </c>
      <c r="K571" s="6" t="n">
        <v>0</v>
      </c>
      <c r="L571" s="6" t="n">
        <v>0</v>
      </c>
      <c r="M571" s="6" t="n">
        <v>0</v>
      </c>
      <c r="N571" s="6" t="n">
        <v>0</v>
      </c>
      <c r="O571" s="6" t="n">
        <v>0</v>
      </c>
      <c r="P571" s="6" t="n">
        <v>0</v>
      </c>
      <c r="Q571" s="6" t="n">
        <v>0</v>
      </c>
      <c r="R571" s="6" t="n">
        <v>0</v>
      </c>
      <c r="S571" s="6" t="n">
        <v>0</v>
      </c>
      <c r="T571" s="6" t="n">
        <v>0</v>
      </c>
    </row>
    <row r="572" customFormat="false" ht="12.75" hidden="false" customHeight="false" outlineLevel="0" collapsed="false">
      <c r="A572" s="1"/>
      <c r="B572" s="1"/>
      <c r="C572" s="0" t="s">
        <v>22</v>
      </c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</row>
    <row r="573" customFormat="false" ht="12.75" hidden="false" customHeight="false" outlineLevel="0" collapsed="false">
      <c r="A573" s="1"/>
      <c r="B573" s="1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</row>
    <row r="574" customFormat="false" ht="12.75" hidden="false" customHeight="false" outlineLevel="0" collapsed="false">
      <c r="A574" s="1"/>
      <c r="B574" s="1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</row>
    <row r="575" customFormat="false" ht="12.75" hidden="false" customHeight="false" outlineLevel="0" collapsed="false">
      <c r="A575" s="1" t="s">
        <v>148</v>
      </c>
      <c r="B575" s="1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</row>
    <row r="576" customFormat="false" ht="12.75" hidden="false" customHeight="false" outlineLevel="0" collapsed="false">
      <c r="A576" s="1"/>
      <c r="B576" s="1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</row>
    <row r="577" customFormat="false" ht="12.75" hidden="false" customHeight="false" outlineLevel="0" collapsed="false">
      <c r="A577" s="1"/>
      <c r="B577" s="1"/>
      <c r="D577" s="0" t="s">
        <v>106</v>
      </c>
      <c r="F577" s="4" t="n">
        <v>0.31</v>
      </c>
      <c r="G577" s="4" t="n">
        <v>0.31</v>
      </c>
      <c r="H577" s="4" t="n">
        <v>0.31</v>
      </c>
      <c r="I577" s="4" t="n">
        <v>0.27</v>
      </c>
      <c r="J577" s="4" t="n">
        <v>0.27</v>
      </c>
      <c r="K577" s="4" t="n">
        <v>0.27</v>
      </c>
      <c r="L577" s="4" t="n">
        <v>0.27</v>
      </c>
      <c r="M577" s="4" t="n">
        <v>0.27</v>
      </c>
      <c r="N577" s="4" t="n">
        <v>0.27</v>
      </c>
      <c r="O577" s="4" t="n">
        <v>0.27</v>
      </c>
      <c r="P577" s="4" t="n">
        <v>0.31</v>
      </c>
      <c r="Q577" s="4" t="n">
        <v>0.31</v>
      </c>
      <c r="R577" s="4" t="n">
        <v>0.31</v>
      </c>
      <c r="S577" s="4" t="n">
        <v>0.31</v>
      </c>
      <c r="T577" s="4" t="n">
        <v>0.31</v>
      </c>
    </row>
    <row r="578" customFormat="false" ht="12.75" hidden="false" customHeight="false" outlineLevel="0" collapsed="false">
      <c r="A578" s="1"/>
      <c r="B578" s="1"/>
      <c r="D578" s="0" t="s">
        <v>110</v>
      </c>
      <c r="F578" s="4" t="n">
        <v>0.31</v>
      </c>
      <c r="G578" s="4" t="n">
        <v>0.31</v>
      </c>
      <c r="H578" s="4" t="n">
        <v>0.31</v>
      </c>
      <c r="I578" s="4" t="n">
        <v>0.27</v>
      </c>
      <c r="J578" s="4" t="n">
        <v>0.27</v>
      </c>
      <c r="K578" s="4" t="n">
        <v>0.27</v>
      </c>
      <c r="L578" s="4" t="n">
        <v>0.27</v>
      </c>
      <c r="M578" s="4" t="n">
        <v>0.27</v>
      </c>
      <c r="N578" s="4" t="n">
        <v>0.27</v>
      </c>
      <c r="O578" s="4" t="n">
        <v>0.27</v>
      </c>
      <c r="P578" s="4" t="n">
        <v>0.31</v>
      </c>
      <c r="Q578" s="4" t="n">
        <v>0.31</v>
      </c>
      <c r="R578" s="4" t="n">
        <v>0.31</v>
      </c>
      <c r="S578" s="4" t="n">
        <v>0.31</v>
      </c>
      <c r="T578" s="4" t="n">
        <v>0.31</v>
      </c>
    </row>
    <row r="579" customFormat="false" ht="12.75" hidden="false" customHeight="false" outlineLevel="0" collapsed="false">
      <c r="A579" s="1"/>
      <c r="B579" s="1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</row>
    <row r="580" customFormat="false" ht="12.75" hidden="true" customHeight="false" outlineLevel="0" collapsed="false">
      <c r="A580" s="1"/>
      <c r="B580" s="1"/>
      <c r="C580" s="0" t="s">
        <v>137</v>
      </c>
      <c r="F580" s="7" t="n">
        <v>9127</v>
      </c>
      <c r="G580" s="7" t="n">
        <v>6543</v>
      </c>
      <c r="H580" s="7" t="n">
        <v>4501</v>
      </c>
      <c r="I580" s="7" t="n">
        <v>4045</v>
      </c>
      <c r="J580" s="7" t="n">
        <v>6366</v>
      </c>
      <c r="K580" s="7" t="n">
        <v>6428</v>
      </c>
      <c r="L580" s="7" t="n">
        <v>2499</v>
      </c>
      <c r="M580" s="7" t="n">
        <v>2447</v>
      </c>
      <c r="N580" s="7" t="n">
        <v>2570</v>
      </c>
      <c r="O580" s="7" t="n">
        <v>895</v>
      </c>
      <c r="P580" s="7" t="n">
        <v>37</v>
      </c>
      <c r="Q580" s="7" t="n">
        <v>53</v>
      </c>
      <c r="R580" s="7" t="n">
        <v>99</v>
      </c>
      <c r="S580" s="7" t="n">
        <v>68</v>
      </c>
      <c r="T580" s="7" t="n">
        <v>38</v>
      </c>
    </row>
    <row r="581" customFormat="false" ht="12.75" hidden="false" customHeight="false" outlineLevel="0" collapsed="false">
      <c r="A581" s="8"/>
      <c r="B581" s="8"/>
      <c r="C581" s="0" t="s">
        <v>19</v>
      </c>
      <c r="D581" s="8"/>
      <c r="E581" s="8"/>
      <c r="F581" s="9" t="n">
        <f aca="false">F580/31</f>
        <v>294.41935483871</v>
      </c>
      <c r="G581" s="9" t="n">
        <f aca="false">G580/29</f>
        <v>225.620689655172</v>
      </c>
      <c r="H581" s="9" t="n">
        <f aca="false">H580/31</f>
        <v>145.193548387097</v>
      </c>
      <c r="I581" s="9" t="n">
        <f aca="false">I580/30</f>
        <v>134.833333333333</v>
      </c>
      <c r="J581" s="9" t="n">
        <f aca="false">J580/31</f>
        <v>205.354838709677</v>
      </c>
      <c r="K581" s="9" t="n">
        <f aca="false">K580/30</f>
        <v>214.266666666667</v>
      </c>
      <c r="L581" s="9" t="n">
        <f aca="false">L580/31</f>
        <v>80.6129032258065</v>
      </c>
      <c r="M581" s="9" t="n">
        <f aca="false">M580/31</f>
        <v>78.9354838709677</v>
      </c>
      <c r="N581" s="9" t="n">
        <f aca="false">N580/30</f>
        <v>85.6666666666667</v>
      </c>
      <c r="O581" s="9" t="n">
        <f aca="false">O580/31</f>
        <v>28.8709677419355</v>
      </c>
      <c r="P581" s="9" t="n">
        <f aca="false">P580/30</f>
        <v>1.23333333333333</v>
      </c>
      <c r="Q581" s="9" t="n">
        <f aca="false">Q580/31</f>
        <v>1.70967741935484</v>
      </c>
      <c r="R581" s="9" t="n">
        <f aca="false">R580/31</f>
        <v>3.19354838709677</v>
      </c>
      <c r="S581" s="9" t="n">
        <f aca="false">S580/28</f>
        <v>2.42857142857143</v>
      </c>
      <c r="T581" s="9" t="n">
        <f aca="false">T580/31</f>
        <v>1.2258064516129</v>
      </c>
    </row>
    <row r="582" customFormat="false" ht="12.75" hidden="false" customHeight="false" outlineLevel="0" collapsed="false">
      <c r="A582" s="1"/>
      <c r="B582" s="1"/>
      <c r="C582" s="0" t="s">
        <v>20</v>
      </c>
      <c r="F582" s="6" t="n">
        <v>0</v>
      </c>
      <c r="G582" s="6" t="n">
        <v>0</v>
      </c>
      <c r="H582" s="6" t="n">
        <v>0</v>
      </c>
      <c r="I582" s="6" t="n">
        <v>0</v>
      </c>
      <c r="J582" s="6" t="n">
        <v>0</v>
      </c>
      <c r="K582" s="6" t="n">
        <v>0</v>
      </c>
      <c r="L582" s="6" t="n">
        <v>0</v>
      </c>
      <c r="M582" s="6" t="n">
        <v>0</v>
      </c>
      <c r="N582" s="6" t="n">
        <v>0</v>
      </c>
      <c r="O582" s="6" t="n">
        <v>0</v>
      </c>
      <c r="P582" s="6" t="n">
        <v>0</v>
      </c>
      <c r="Q582" s="6" t="n">
        <v>0</v>
      </c>
      <c r="R582" s="6" t="n">
        <v>0</v>
      </c>
      <c r="S582" s="6" t="n">
        <v>0</v>
      </c>
      <c r="T582" s="6" t="n">
        <v>0</v>
      </c>
    </row>
    <row r="583" customFormat="false" ht="12.75" hidden="false" customHeight="false" outlineLevel="0" collapsed="false">
      <c r="A583" s="1"/>
      <c r="B583" s="1"/>
      <c r="C583" s="0" t="s">
        <v>22</v>
      </c>
      <c r="F583" s="4" t="s">
        <v>149</v>
      </c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</row>
    <row r="584" customFormat="false" ht="12.75" hidden="false" customHeight="false" outlineLevel="0" collapsed="false">
      <c r="A584" s="1"/>
      <c r="B584" s="1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</row>
    <row r="585" customFormat="false" ht="12.75" hidden="false" customHeight="false" outlineLevel="0" collapsed="false">
      <c r="A585" s="1"/>
      <c r="B585" s="1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</row>
    <row r="586" customFormat="false" ht="12.75" hidden="false" customHeight="false" outlineLevel="0" collapsed="false">
      <c r="A586" s="1" t="s">
        <v>150</v>
      </c>
      <c r="B586" s="1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</row>
    <row r="587" customFormat="false" ht="12.75" hidden="false" customHeight="false" outlineLevel="0" collapsed="false">
      <c r="A587" s="1"/>
      <c r="B587" s="1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</row>
    <row r="588" customFormat="false" ht="12.75" hidden="false" customHeight="false" outlineLevel="0" collapsed="false">
      <c r="A588" s="1"/>
      <c r="B588" s="1" t="s">
        <v>118</v>
      </c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 customFormat="false" ht="12.75" hidden="false" customHeight="false" outlineLevel="0" collapsed="false">
      <c r="A589" s="1"/>
      <c r="B589" s="1"/>
      <c r="D589" s="0" t="s">
        <v>106</v>
      </c>
      <c r="F589" s="4" t="n">
        <v>0</v>
      </c>
      <c r="G589" s="4" t="n">
        <v>0</v>
      </c>
      <c r="H589" s="4" t="n">
        <v>0</v>
      </c>
      <c r="I589" s="4" t="n">
        <v>0</v>
      </c>
      <c r="J589" s="4" t="n">
        <v>0</v>
      </c>
      <c r="K589" s="4" t="n">
        <v>0</v>
      </c>
      <c r="L589" s="4" t="n">
        <v>0</v>
      </c>
      <c r="M589" s="4" t="n">
        <v>0</v>
      </c>
      <c r="N589" s="4" t="n">
        <v>0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0</v>
      </c>
      <c r="T589" s="4" t="n">
        <v>0</v>
      </c>
    </row>
    <row r="590" customFormat="false" ht="12.75" hidden="false" customHeight="false" outlineLevel="0" collapsed="false">
      <c r="A590" s="1"/>
      <c r="B590" s="1"/>
      <c r="D590" s="0" t="s">
        <v>110</v>
      </c>
      <c r="F590" s="4" t="n">
        <v>0</v>
      </c>
      <c r="G590" s="4" t="n">
        <v>0</v>
      </c>
      <c r="H590" s="4" t="n">
        <v>0</v>
      </c>
      <c r="I590" s="4" t="n">
        <v>0</v>
      </c>
      <c r="J590" s="4" t="n">
        <v>0</v>
      </c>
      <c r="K590" s="4" t="n">
        <v>0</v>
      </c>
      <c r="L590" s="4" t="n">
        <v>0</v>
      </c>
      <c r="M590" s="4" t="n">
        <v>0</v>
      </c>
      <c r="N590" s="4" t="n">
        <v>0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0</v>
      </c>
      <c r="T590" s="4" t="n">
        <v>0</v>
      </c>
    </row>
    <row r="591" customFormat="false" ht="12.75" hidden="false" customHeight="false" outlineLevel="0" collapsed="false">
      <c r="A591" s="1"/>
      <c r="B591" s="1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</row>
    <row r="592" customFormat="false" ht="12.75" hidden="true" customHeight="false" outlineLevel="0" collapsed="false">
      <c r="A592" s="1"/>
      <c r="B592" s="1"/>
      <c r="C592" s="0" t="s">
        <v>137</v>
      </c>
      <c r="F592" s="6" t="n">
        <f aca="false">102+36400</f>
        <v>36502</v>
      </c>
      <c r="G592" s="6" t="n">
        <f aca="false">102+34400</f>
        <v>34502</v>
      </c>
      <c r="H592" s="6" t="n">
        <f aca="false">102+34400</f>
        <v>34502</v>
      </c>
      <c r="I592" s="6" t="n">
        <f aca="false">102+23000</f>
        <v>23102</v>
      </c>
      <c r="J592" s="6" t="n">
        <f aca="false">102+21000</f>
        <v>21102</v>
      </c>
      <c r="K592" s="6" t="n">
        <v>102</v>
      </c>
      <c r="L592" s="6" t="n">
        <v>102</v>
      </c>
      <c r="M592" s="6" t="n">
        <v>102</v>
      </c>
      <c r="N592" s="6" t="n">
        <v>102</v>
      </c>
      <c r="O592" s="6" t="n">
        <v>102</v>
      </c>
      <c r="P592" s="6" t="n">
        <v>102</v>
      </c>
      <c r="Q592" s="6" t="n">
        <v>102</v>
      </c>
      <c r="R592" s="6" t="n">
        <v>102</v>
      </c>
      <c r="S592" s="6" t="n">
        <v>102</v>
      </c>
      <c r="T592" s="6" t="n">
        <v>102</v>
      </c>
      <c r="U592" s="6"/>
      <c r="V592" s="6"/>
      <c r="W592" s="6"/>
      <c r="X592" s="6"/>
    </row>
    <row r="593" customFormat="false" ht="12.75" hidden="false" customHeight="false" outlineLevel="0" collapsed="false">
      <c r="A593" s="8"/>
      <c r="B593" s="8"/>
      <c r="C593" s="0" t="s">
        <v>19</v>
      </c>
      <c r="D593" s="8"/>
      <c r="E593" s="8"/>
      <c r="F593" s="10" t="n">
        <f aca="false">F592/31</f>
        <v>1177.48387096774</v>
      </c>
      <c r="G593" s="10" t="n">
        <f aca="false">G592/29</f>
        <v>1189.72413793103</v>
      </c>
      <c r="H593" s="10" t="n">
        <f aca="false">H592/31</f>
        <v>1112.96774193548</v>
      </c>
      <c r="I593" s="10" t="n">
        <f aca="false">I592/30</f>
        <v>770.066666666667</v>
      </c>
      <c r="J593" s="10" t="n">
        <f aca="false">J592/31</f>
        <v>680.709677419355</v>
      </c>
      <c r="K593" s="10" t="n">
        <f aca="false">K592/30</f>
        <v>3.4</v>
      </c>
      <c r="L593" s="10" t="n">
        <f aca="false">L592/31</f>
        <v>3.29032258064516</v>
      </c>
      <c r="M593" s="10" t="n">
        <f aca="false">M592/31</f>
        <v>3.29032258064516</v>
      </c>
      <c r="N593" s="10" t="n">
        <f aca="false">N592/30</f>
        <v>3.4</v>
      </c>
      <c r="O593" s="10" t="n">
        <f aca="false">O592/31</f>
        <v>3.29032258064516</v>
      </c>
      <c r="P593" s="10" t="n">
        <f aca="false">P592/30</f>
        <v>3.4</v>
      </c>
      <c r="Q593" s="10" t="n">
        <f aca="false">Q592/31</f>
        <v>3.29032258064516</v>
      </c>
      <c r="R593" s="10" t="n">
        <f aca="false">R592/31</f>
        <v>3.29032258064516</v>
      </c>
      <c r="S593" s="10" t="n">
        <f aca="false">S592/28</f>
        <v>3.64285714285714</v>
      </c>
      <c r="T593" s="10" t="n">
        <f aca="false">T592/31</f>
        <v>3.29032258064516</v>
      </c>
      <c r="U593" s="6"/>
      <c r="V593" s="6"/>
      <c r="W593" s="6"/>
      <c r="X593" s="6"/>
    </row>
    <row r="594" customFormat="false" ht="12.75" hidden="false" customHeight="false" outlineLevel="0" collapsed="false">
      <c r="A594" s="1"/>
      <c r="B594" s="1"/>
      <c r="C594" s="0" t="s">
        <v>20</v>
      </c>
      <c r="F594" s="6" t="n">
        <v>102</v>
      </c>
      <c r="G594" s="6" t="n">
        <v>102</v>
      </c>
      <c r="H594" s="6" t="n">
        <v>102</v>
      </c>
      <c r="I594" s="6" t="n">
        <v>102</v>
      </c>
      <c r="J594" s="6" t="n">
        <v>102</v>
      </c>
      <c r="K594" s="6" t="n">
        <v>102</v>
      </c>
      <c r="L594" s="6" t="n">
        <v>102</v>
      </c>
      <c r="M594" s="6" t="n">
        <v>102</v>
      </c>
      <c r="N594" s="6" t="n">
        <v>102</v>
      </c>
      <c r="O594" s="6" t="n">
        <v>102</v>
      </c>
      <c r="P594" s="6" t="n">
        <v>102</v>
      </c>
      <c r="Q594" s="6" t="n">
        <v>102</v>
      </c>
      <c r="R594" s="6" t="n">
        <v>102</v>
      </c>
      <c r="S594" s="6" t="n">
        <v>102</v>
      </c>
      <c r="T594" s="6" t="n">
        <v>102</v>
      </c>
      <c r="U594" s="6"/>
      <c r="V594" s="6"/>
      <c r="W594" s="6"/>
      <c r="X594" s="6"/>
    </row>
    <row r="595" customFormat="false" ht="12.75" hidden="false" customHeight="false" outlineLevel="0" collapsed="false">
      <c r="A595" s="1"/>
      <c r="B595" s="1"/>
      <c r="C595" s="0" t="s">
        <v>22</v>
      </c>
      <c r="F595" s="4" t="s">
        <v>151</v>
      </c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</row>
    <row r="596" customFormat="false" ht="12.75" hidden="false" customHeight="false" outlineLevel="0" collapsed="false">
      <c r="A596" s="1"/>
      <c r="B596" s="1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</row>
    <row r="597" customFormat="false" ht="12.75" hidden="false" customHeight="false" outlineLevel="0" collapsed="false">
      <c r="A597" s="1" t="s">
        <v>152</v>
      </c>
      <c r="B597" s="1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</row>
    <row r="598" customFormat="false" ht="12.75" hidden="false" customHeight="false" outlineLevel="0" collapsed="false">
      <c r="A598" s="1"/>
      <c r="B598" s="1" t="s">
        <v>153</v>
      </c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</row>
    <row r="599" customFormat="false" ht="12.75" hidden="false" customHeight="false" outlineLevel="0" collapsed="false">
      <c r="A599" s="1"/>
      <c r="B599" s="1"/>
      <c r="D599" s="0" t="s">
        <v>154</v>
      </c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</row>
    <row r="600" customFormat="false" ht="12.75" hidden="false" customHeight="false" outlineLevel="0" collapsed="false">
      <c r="A600" s="1"/>
      <c r="B600" s="1"/>
      <c r="D600" s="0" t="s">
        <v>155</v>
      </c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</row>
    <row r="601" customFormat="false" ht="12.75" hidden="false" customHeight="false" outlineLevel="0" collapsed="false">
      <c r="A601" s="1"/>
      <c r="B601" s="1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</row>
    <row r="602" customFormat="false" ht="12.75" hidden="true" customHeight="false" outlineLevel="0" collapsed="false">
      <c r="A602" s="1"/>
      <c r="B602" s="1"/>
      <c r="C602" s="0" t="s">
        <v>137</v>
      </c>
      <c r="F602" s="10" t="n">
        <f aca="false">868976+295129</f>
        <v>1164105</v>
      </c>
      <c r="G602" s="10" t="n">
        <f aca="false">683580+315505</f>
        <v>999085</v>
      </c>
      <c r="H602" s="10" t="n">
        <f aca="false">422148+255108</f>
        <v>677256</v>
      </c>
      <c r="I602" s="10" t="n">
        <f aca="false">193676+358596</f>
        <v>552272</v>
      </c>
      <c r="J602" s="10" t="n">
        <f aca="false">91498+369826</f>
        <v>461324</v>
      </c>
      <c r="K602" s="10" t="n">
        <f aca="false">68345+245852</f>
        <v>314197</v>
      </c>
      <c r="L602" s="10" t="n">
        <f aca="false">64349+294239</f>
        <v>358588</v>
      </c>
      <c r="M602" s="10" t="n">
        <f aca="false">61857+300931</f>
        <v>362788</v>
      </c>
      <c r="N602" s="10" t="n">
        <f aca="false">53919+319316</f>
        <v>373235</v>
      </c>
      <c r="O602" s="10" t="n">
        <f aca="false">73483+299110</f>
        <v>372593</v>
      </c>
      <c r="P602" s="10" t="n">
        <f aca="false">131968+434789</f>
        <v>566757</v>
      </c>
      <c r="Q602" s="10" t="n">
        <f aca="false">207117+244206</f>
        <v>451323</v>
      </c>
      <c r="R602" s="10" t="n">
        <v>225262</v>
      </c>
      <c r="S602" s="10" t="n">
        <v>166697</v>
      </c>
      <c r="T602" s="10" t="n">
        <v>116507</v>
      </c>
      <c r="U602" s="6"/>
      <c r="V602" s="6"/>
      <c r="W602" s="6"/>
      <c r="X602" s="6"/>
    </row>
    <row r="603" customFormat="false" ht="12.75" hidden="false" customHeight="false" outlineLevel="0" collapsed="false">
      <c r="A603" s="8"/>
      <c r="B603" s="8"/>
      <c r="C603" s="0" t="s">
        <v>156</v>
      </c>
      <c r="D603" s="8"/>
      <c r="E603" s="8"/>
      <c r="F603" s="10" t="n">
        <v>33409</v>
      </c>
      <c r="G603" s="10" t="n">
        <v>31464</v>
      </c>
      <c r="H603" s="10" t="n">
        <v>17118</v>
      </c>
      <c r="I603" s="10" t="n">
        <v>3495</v>
      </c>
      <c r="J603" s="10" t="n">
        <v>1591</v>
      </c>
      <c r="K603" s="10" t="n">
        <v>1175</v>
      </c>
      <c r="L603" s="10" t="n">
        <v>1067</v>
      </c>
      <c r="M603" s="10" t="n">
        <v>1044</v>
      </c>
      <c r="N603" s="10" t="n">
        <v>912</v>
      </c>
      <c r="O603" s="10" t="n">
        <v>1331</v>
      </c>
      <c r="P603" s="10" t="n">
        <v>6485</v>
      </c>
      <c r="Q603" s="10" t="n">
        <v>9148</v>
      </c>
      <c r="R603" s="10" t="n">
        <v>9205</v>
      </c>
      <c r="S603" s="10" t="n">
        <v>8243</v>
      </c>
      <c r="T603" s="10" t="n">
        <v>5267</v>
      </c>
      <c r="U603" s="6"/>
      <c r="V603" s="6"/>
      <c r="W603" s="6"/>
      <c r="X603" s="6"/>
    </row>
    <row r="604" customFormat="false" ht="12.75" hidden="false" customHeight="false" outlineLevel="0" collapsed="false">
      <c r="A604" s="1"/>
      <c r="B604" s="1"/>
      <c r="C604" s="0" t="s">
        <v>20</v>
      </c>
      <c r="F604" s="6" t="n">
        <v>0</v>
      </c>
      <c r="G604" s="6" t="n">
        <v>0</v>
      </c>
      <c r="H604" s="6" t="n">
        <v>0</v>
      </c>
      <c r="I604" s="6" t="n">
        <v>0</v>
      </c>
      <c r="J604" s="6" t="n">
        <v>0</v>
      </c>
      <c r="K604" s="6" t="n">
        <v>0</v>
      </c>
      <c r="L604" s="6" t="n">
        <v>0</v>
      </c>
      <c r="M604" s="6" t="n">
        <v>0</v>
      </c>
      <c r="N604" s="6" t="n">
        <v>0</v>
      </c>
      <c r="O604" s="6" t="n">
        <v>0</v>
      </c>
      <c r="P604" s="6" t="n">
        <v>0</v>
      </c>
      <c r="Q604" s="6" t="n">
        <v>0</v>
      </c>
      <c r="R604" s="6" t="n">
        <v>0</v>
      </c>
      <c r="S604" s="6" t="n">
        <v>0</v>
      </c>
      <c r="T604" s="6" t="n">
        <v>0</v>
      </c>
      <c r="U604" s="6"/>
      <c r="V604" s="6"/>
      <c r="W604" s="6"/>
      <c r="X604" s="6"/>
    </row>
    <row r="605" customFormat="false" ht="12.75" hidden="false" customHeight="false" outlineLevel="0" collapsed="false">
      <c r="A605" s="1"/>
      <c r="B605" s="1"/>
      <c r="C605" s="0" t="s">
        <v>22</v>
      </c>
      <c r="F605" s="4" t="s">
        <v>122</v>
      </c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</row>
    <row r="606" customFormat="false" ht="12.75" hidden="false" customHeight="false" outlineLevel="0" collapsed="false">
      <c r="A606" s="1"/>
      <c r="B606" s="1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</row>
    <row r="607" customFormat="false" ht="12.75" hidden="false" customHeight="false" outlineLevel="0" collapsed="false">
      <c r="A607" s="1" t="s">
        <v>157</v>
      </c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</row>
    <row r="608" customFormat="false" ht="12.75" hidden="false" customHeight="false" outlineLevel="0" collapsed="false">
      <c r="A608" s="1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</row>
    <row r="609" customFormat="false" ht="12.75" hidden="false" customHeight="false" outlineLevel="0" collapsed="false">
      <c r="A609" s="1"/>
      <c r="D609" s="0" t="s">
        <v>158</v>
      </c>
      <c r="F609" s="4" t="n">
        <v>0</v>
      </c>
      <c r="G609" s="4" t="n">
        <v>0</v>
      </c>
      <c r="H609" s="4" t="n">
        <v>0</v>
      </c>
      <c r="I609" s="4" t="n">
        <v>0</v>
      </c>
      <c r="J609" s="4" t="n">
        <v>0</v>
      </c>
      <c r="K609" s="4" t="n">
        <v>0</v>
      </c>
      <c r="L609" s="4" t="n">
        <v>0</v>
      </c>
      <c r="M609" s="4" t="n">
        <v>0</v>
      </c>
      <c r="N609" s="4" t="n">
        <v>0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0</v>
      </c>
      <c r="T609" s="4" t="n">
        <v>0</v>
      </c>
    </row>
    <row r="610" customFormat="false" ht="12.75" hidden="false" customHeight="false" outlineLevel="0" collapsed="false">
      <c r="A610" s="1"/>
      <c r="D610" s="0" t="s">
        <v>159</v>
      </c>
      <c r="F610" s="4" t="n">
        <v>0</v>
      </c>
      <c r="G610" s="4" t="n">
        <v>0</v>
      </c>
      <c r="H610" s="4" t="n">
        <v>0</v>
      </c>
      <c r="I610" s="4" t="n">
        <v>0</v>
      </c>
      <c r="J610" s="4" t="n">
        <v>0</v>
      </c>
      <c r="K610" s="4" t="n">
        <v>0</v>
      </c>
      <c r="L610" s="4" t="n">
        <v>0</v>
      </c>
      <c r="M610" s="4" t="n">
        <v>0</v>
      </c>
      <c r="N610" s="4" t="n">
        <v>0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0</v>
      </c>
      <c r="T610" s="4" t="n">
        <v>0</v>
      </c>
    </row>
    <row r="611" customFormat="false" ht="12.75" hidden="false" customHeight="false" outlineLevel="0" collapsed="false">
      <c r="A611" s="1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</row>
    <row r="612" customFormat="false" ht="12.75" hidden="true" customHeight="false" outlineLevel="0" collapsed="false">
      <c r="A612" s="1"/>
      <c r="C612" s="0" t="s">
        <v>137</v>
      </c>
      <c r="F612" s="10" t="n">
        <v>406573</v>
      </c>
      <c r="G612" s="10" t="n">
        <v>359126</v>
      </c>
      <c r="H612" s="10" t="n">
        <v>305826</v>
      </c>
      <c r="I612" s="10" t="n">
        <v>162419</v>
      </c>
      <c r="J612" s="10" t="n">
        <v>97390</v>
      </c>
      <c r="K612" s="10" t="n">
        <v>54734</v>
      </c>
      <c r="L612" s="10" t="n">
        <v>43817</v>
      </c>
      <c r="M612" s="10" t="n">
        <v>46682</v>
      </c>
      <c r="N612" s="10" t="n">
        <v>73242</v>
      </c>
      <c r="O612" s="10" t="n">
        <v>139437</v>
      </c>
      <c r="P612" s="10" t="n">
        <v>202820</v>
      </c>
      <c r="Q612" s="10" t="n">
        <v>281221</v>
      </c>
      <c r="R612" s="10" t="n">
        <v>313615</v>
      </c>
      <c r="S612" s="10" t="n">
        <v>276994</v>
      </c>
      <c r="T612" s="10" t="n">
        <v>235879</v>
      </c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</row>
    <row r="613" customFormat="false" ht="12.75" hidden="false" customHeight="false" outlineLevel="0" collapsed="false">
      <c r="A613" s="8"/>
      <c r="B613" s="8"/>
      <c r="C613" s="0" t="s">
        <v>21</v>
      </c>
      <c r="D613" s="8"/>
      <c r="E613" s="8"/>
      <c r="F613" s="10" t="n">
        <v>12824</v>
      </c>
      <c r="G613" s="10" t="n">
        <v>12472</v>
      </c>
      <c r="H613" s="10" t="n">
        <v>9646</v>
      </c>
      <c r="I613" s="10" t="n">
        <v>5090</v>
      </c>
      <c r="J613" s="10" t="n">
        <v>3051</v>
      </c>
      <c r="K613" s="10" t="n">
        <v>1713</v>
      </c>
      <c r="L613" s="10" t="n">
        <v>1371</v>
      </c>
      <c r="M613" s="10" t="n">
        <v>1461</v>
      </c>
      <c r="N613" s="10" t="n">
        <v>2294</v>
      </c>
      <c r="O613" s="10" t="n">
        <v>4369</v>
      </c>
      <c r="P613" s="10" t="n">
        <v>6356</v>
      </c>
      <c r="Q613" s="10" t="n">
        <v>8814</v>
      </c>
      <c r="R613" s="10" t="n">
        <v>9830</v>
      </c>
      <c r="S613" s="10" t="n">
        <v>8682</v>
      </c>
      <c r="T613" s="10" t="n">
        <v>7393</v>
      </c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</row>
    <row r="614" customFormat="false" ht="12.75" hidden="false" customHeight="false" outlineLevel="0" collapsed="false">
      <c r="A614" s="1"/>
      <c r="C614" s="0" t="s">
        <v>20</v>
      </c>
      <c r="F614" s="6" t="n">
        <v>0</v>
      </c>
      <c r="G614" s="6" t="n">
        <v>0</v>
      </c>
      <c r="H614" s="6" t="n">
        <v>0</v>
      </c>
      <c r="I614" s="6" t="n">
        <v>0</v>
      </c>
      <c r="J614" s="6" t="n">
        <v>0</v>
      </c>
      <c r="K614" s="6" t="n">
        <v>0</v>
      </c>
      <c r="L614" s="6" t="n">
        <v>0</v>
      </c>
      <c r="M614" s="6" t="n">
        <v>0</v>
      </c>
      <c r="N614" s="6" t="n">
        <v>0</v>
      </c>
      <c r="O614" s="6" t="n">
        <v>0</v>
      </c>
      <c r="P614" s="6" t="n">
        <v>0</v>
      </c>
      <c r="Q614" s="6" t="n">
        <v>0</v>
      </c>
      <c r="R614" s="6" t="n">
        <v>0</v>
      </c>
      <c r="S614" s="6" t="n">
        <v>0</v>
      </c>
      <c r="T614" s="6" t="n">
        <v>0</v>
      </c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</row>
    <row r="615" customFormat="false" ht="12.75" hidden="false" customHeight="false" outlineLevel="0" collapsed="false">
      <c r="A615" s="1"/>
      <c r="C615" s="0" t="s">
        <v>22</v>
      </c>
      <c r="F615" s="4" t="s">
        <v>157</v>
      </c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</row>
    <row r="616" customFormat="false" ht="12.75" hidden="false" customHeight="false" outlineLevel="0" collapsed="false">
      <c r="A616" s="1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</row>
    <row r="617" customFormat="false" ht="12.75" hidden="false" customHeight="false" outlineLevel="0" collapsed="false">
      <c r="A617" s="1" t="s">
        <v>160</v>
      </c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</row>
    <row r="618" customFormat="false" ht="12.75" hidden="false" customHeight="false" outlineLevel="0" collapsed="false">
      <c r="A618" s="1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</row>
    <row r="619" customFormat="false" ht="12.75" hidden="false" customHeight="false" outlineLevel="0" collapsed="false">
      <c r="A619" s="1"/>
      <c r="D619" s="0" t="s">
        <v>161</v>
      </c>
      <c r="F619" s="4" t="n">
        <v>0.01</v>
      </c>
      <c r="G619" s="4" t="n">
        <v>0.01</v>
      </c>
      <c r="H619" s="4" t="n">
        <v>0.01</v>
      </c>
      <c r="I619" s="4" t="n">
        <v>0.01</v>
      </c>
      <c r="J619" s="4" t="n">
        <v>0.01</v>
      </c>
      <c r="K619" s="4" t="n">
        <v>0.01</v>
      </c>
      <c r="L619" s="4" t="n">
        <v>0.01</v>
      </c>
      <c r="M619" s="4" t="n">
        <v>0.01</v>
      </c>
      <c r="N619" s="4" t="n">
        <v>0.01</v>
      </c>
      <c r="O619" s="4" t="n">
        <v>0.01</v>
      </c>
      <c r="P619" s="4" t="n">
        <v>0.01</v>
      </c>
      <c r="Q619" s="4" t="n">
        <v>0.01</v>
      </c>
      <c r="R619" s="4" t="n">
        <v>0.01</v>
      </c>
      <c r="S619" s="4" t="n">
        <v>0.01</v>
      </c>
      <c r="T619" s="4" t="n">
        <v>0.01</v>
      </c>
    </row>
    <row r="620" customFormat="false" ht="12.75" hidden="false" customHeight="false" outlineLevel="0" collapsed="false">
      <c r="A620" s="1"/>
      <c r="D620" s="0" t="s">
        <v>162</v>
      </c>
      <c r="F620" s="4" t="n">
        <v>0.01</v>
      </c>
      <c r="G620" s="4" t="n">
        <v>0.01</v>
      </c>
      <c r="H620" s="4" t="n">
        <v>0.01</v>
      </c>
      <c r="I620" s="4" t="n">
        <v>0.01</v>
      </c>
      <c r="J620" s="4" t="n">
        <v>0.01</v>
      </c>
      <c r="K620" s="4" t="n">
        <v>0.01</v>
      </c>
      <c r="L620" s="4" t="n">
        <v>0.01</v>
      </c>
      <c r="M620" s="4" t="n">
        <v>0.01</v>
      </c>
      <c r="N620" s="4" t="n">
        <v>0.01</v>
      </c>
      <c r="O620" s="4" t="n">
        <v>0.01</v>
      </c>
      <c r="P620" s="4" t="n">
        <v>0.01</v>
      </c>
      <c r="Q620" s="4" t="n">
        <v>0.01</v>
      </c>
      <c r="R620" s="4" t="n">
        <v>0.01</v>
      </c>
      <c r="S620" s="4" t="n">
        <v>0.01</v>
      </c>
      <c r="T620" s="4" t="n">
        <v>0.01</v>
      </c>
    </row>
    <row r="621" customFormat="false" ht="12.75" hidden="false" customHeight="false" outlineLevel="0" collapsed="false">
      <c r="A621" s="1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  <c r="BO621" s="6"/>
      <c r="BP621" s="6"/>
      <c r="BQ621" s="6"/>
    </row>
    <row r="622" customFormat="false" ht="12.75" hidden="true" customHeight="false" outlineLevel="0" collapsed="false">
      <c r="A622" s="1"/>
      <c r="C622" s="0" t="s">
        <v>19</v>
      </c>
      <c r="F622" s="6" t="n">
        <v>131</v>
      </c>
      <c r="G622" s="6" t="n">
        <v>129</v>
      </c>
      <c r="H622" s="6" t="n">
        <v>98</v>
      </c>
      <c r="I622" s="6" t="n">
        <v>0</v>
      </c>
      <c r="J622" s="6" t="n">
        <v>0</v>
      </c>
      <c r="K622" s="6" t="n">
        <v>0</v>
      </c>
      <c r="L622" s="6" t="n">
        <v>0</v>
      </c>
      <c r="M622" s="6" t="n">
        <v>0</v>
      </c>
      <c r="N622" s="6" t="n">
        <v>0</v>
      </c>
      <c r="O622" s="6" t="n">
        <v>0</v>
      </c>
      <c r="P622" s="6" t="n">
        <v>0</v>
      </c>
      <c r="Q622" s="6" t="n">
        <v>0</v>
      </c>
      <c r="R622" s="6" t="n">
        <v>0</v>
      </c>
      <c r="S622" s="6" t="n">
        <v>0</v>
      </c>
      <c r="T622" s="6" t="n">
        <v>0</v>
      </c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  <c r="BO622" s="6"/>
      <c r="BP622" s="6"/>
      <c r="BQ622" s="6"/>
    </row>
    <row r="623" customFormat="false" ht="12.75" hidden="false" customHeight="false" outlineLevel="0" collapsed="false">
      <c r="A623" s="8"/>
      <c r="B623" s="8"/>
      <c r="C623" s="0" t="s">
        <v>19</v>
      </c>
      <c r="D623" s="8"/>
      <c r="E623" s="8"/>
      <c r="F623" s="10" t="n">
        <f aca="false">F622/31</f>
        <v>4.2258064516129</v>
      </c>
      <c r="G623" s="10" t="n">
        <f aca="false">G622/29</f>
        <v>4.44827586206897</v>
      </c>
      <c r="H623" s="10" t="n">
        <f aca="false">H622/31</f>
        <v>3.16129032258065</v>
      </c>
      <c r="I623" s="10" t="n">
        <f aca="false">I622/30</f>
        <v>0</v>
      </c>
      <c r="J623" s="10" t="n">
        <f aca="false">J622/31</f>
        <v>0</v>
      </c>
      <c r="K623" s="10" t="n">
        <f aca="false">K622/30</f>
        <v>0</v>
      </c>
      <c r="L623" s="10" t="n">
        <f aca="false">L622/31</f>
        <v>0</v>
      </c>
      <c r="M623" s="10" t="n">
        <f aca="false">M622/31</f>
        <v>0</v>
      </c>
      <c r="N623" s="10" t="n">
        <f aca="false">N622/30</f>
        <v>0</v>
      </c>
      <c r="O623" s="10" t="n">
        <f aca="false">O622/31</f>
        <v>0</v>
      </c>
      <c r="P623" s="10" t="n">
        <f aca="false">P622/30</f>
        <v>0</v>
      </c>
      <c r="Q623" s="10" t="n">
        <f aca="false">Q622/31</f>
        <v>0</v>
      </c>
      <c r="R623" s="10" t="n">
        <f aca="false">R622/31</f>
        <v>0</v>
      </c>
      <c r="S623" s="10" t="n">
        <f aca="false">S622/28</f>
        <v>0</v>
      </c>
      <c r="T623" s="10" t="n">
        <f aca="false">T622/31</f>
        <v>0</v>
      </c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  <c r="BO623" s="6"/>
      <c r="BP623" s="6"/>
      <c r="BQ623" s="6"/>
    </row>
    <row r="624" customFormat="false" ht="12.75" hidden="false" customHeight="false" outlineLevel="0" collapsed="false">
      <c r="A624" s="1"/>
      <c r="C624" s="0" t="s">
        <v>20</v>
      </c>
      <c r="F624" s="6" t="n">
        <v>0</v>
      </c>
      <c r="G624" s="6" t="n">
        <v>0</v>
      </c>
      <c r="H624" s="6" t="n">
        <v>0</v>
      </c>
      <c r="I624" s="6" t="n">
        <v>0</v>
      </c>
      <c r="J624" s="6" t="n">
        <v>0</v>
      </c>
      <c r="K624" s="6" t="n">
        <v>0</v>
      </c>
      <c r="L624" s="6" t="n">
        <v>0</v>
      </c>
      <c r="M624" s="6" t="n">
        <v>0</v>
      </c>
      <c r="N624" s="6" t="n">
        <v>0</v>
      </c>
      <c r="O624" s="6" t="n">
        <v>0</v>
      </c>
      <c r="P624" s="6" t="n">
        <v>0</v>
      </c>
      <c r="Q624" s="6" t="n">
        <v>0</v>
      </c>
      <c r="R624" s="6" t="n">
        <v>0</v>
      </c>
      <c r="S624" s="6" t="n">
        <v>0</v>
      </c>
      <c r="T624" s="6" t="n">
        <v>0</v>
      </c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</row>
    <row r="625" customFormat="false" ht="12.75" hidden="true" customHeight="false" outlineLevel="0" collapsed="false">
      <c r="A625" s="1"/>
      <c r="C625" s="0" t="s">
        <v>21</v>
      </c>
      <c r="F625" s="10" t="n">
        <v>33136</v>
      </c>
      <c r="G625" s="10" t="n">
        <v>26999</v>
      </c>
      <c r="H625" s="10" t="n">
        <v>22807</v>
      </c>
      <c r="I625" s="10" t="n">
        <v>13872</v>
      </c>
      <c r="J625" s="10" t="n">
        <v>11531</v>
      </c>
      <c r="K625" s="10" t="n">
        <v>383</v>
      </c>
      <c r="L625" s="10" t="n">
        <v>317</v>
      </c>
      <c r="M625" s="10" t="n">
        <v>316</v>
      </c>
      <c r="N625" s="10" t="n">
        <v>378</v>
      </c>
      <c r="O625" s="6" t="n">
        <v>0</v>
      </c>
      <c r="P625" s="6" t="n">
        <v>0</v>
      </c>
      <c r="Q625" s="6" t="n">
        <v>0</v>
      </c>
      <c r="R625" s="6" t="n">
        <v>0</v>
      </c>
      <c r="S625" s="6" t="n">
        <v>0</v>
      </c>
      <c r="T625" s="6" t="n">
        <v>0</v>
      </c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  <c r="BO625" s="6"/>
      <c r="BP625" s="6"/>
      <c r="BQ625" s="6"/>
    </row>
    <row r="626" customFormat="false" ht="12.75" hidden="false" customHeight="false" outlineLevel="0" collapsed="false">
      <c r="A626" s="8"/>
      <c r="B626" s="8"/>
      <c r="C626" s="0" t="s">
        <v>21</v>
      </c>
      <c r="D626" s="8"/>
      <c r="E626" s="8"/>
      <c r="F626" s="10" t="n">
        <f aca="false">F625/31</f>
        <v>1068.90322580645</v>
      </c>
      <c r="G626" s="10" t="n">
        <v>959</v>
      </c>
      <c r="H626" s="10" t="n">
        <f aca="false">H625/31</f>
        <v>735.709677419355</v>
      </c>
      <c r="I626" s="10" t="n">
        <f aca="false">I625/30</f>
        <v>462.4</v>
      </c>
      <c r="J626" s="10" t="n">
        <f aca="false">J625/31</f>
        <v>371.967741935484</v>
      </c>
      <c r="K626" s="10" t="n">
        <f aca="false">K625/30</f>
        <v>12.7666666666667</v>
      </c>
      <c r="L626" s="10" t="n">
        <f aca="false">L625/31</f>
        <v>10.2258064516129</v>
      </c>
      <c r="M626" s="10" t="n">
        <f aca="false">M625/31</f>
        <v>10.1935483870968</v>
      </c>
      <c r="N626" s="10" t="n">
        <f aca="false">N625/30</f>
        <v>12.6</v>
      </c>
      <c r="O626" s="10" t="n">
        <f aca="false">O625/31</f>
        <v>0</v>
      </c>
      <c r="P626" s="10" t="n">
        <f aca="false">P625/30</f>
        <v>0</v>
      </c>
      <c r="Q626" s="10" t="n">
        <f aca="false">Q625/31</f>
        <v>0</v>
      </c>
      <c r="R626" s="10" t="n">
        <f aca="false">R625/31</f>
        <v>0</v>
      </c>
      <c r="S626" s="10" t="n">
        <f aca="false">S625/28</f>
        <v>0</v>
      </c>
      <c r="T626" s="10" t="n">
        <f aca="false">T625/31</f>
        <v>0</v>
      </c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  <c r="BO626" s="6"/>
      <c r="BP626" s="6"/>
      <c r="BQ626" s="6"/>
    </row>
    <row r="627" customFormat="false" ht="12.75" hidden="false" customHeight="false" outlineLevel="0" collapsed="false">
      <c r="A627" s="1"/>
      <c r="C627" s="0" t="s">
        <v>20</v>
      </c>
      <c r="F627" s="6" t="n">
        <v>2794</v>
      </c>
      <c r="G627" s="6" t="n">
        <v>2794</v>
      </c>
      <c r="H627" s="6" t="n">
        <v>2794</v>
      </c>
      <c r="I627" s="6" t="n">
        <v>0</v>
      </c>
      <c r="J627" s="6" t="n">
        <v>0</v>
      </c>
      <c r="K627" s="6" t="n">
        <v>0</v>
      </c>
      <c r="L627" s="6" t="n">
        <v>0</v>
      </c>
      <c r="M627" s="6" t="n">
        <v>0</v>
      </c>
      <c r="N627" s="6" t="n">
        <v>0</v>
      </c>
      <c r="O627" s="6" t="n">
        <v>0</v>
      </c>
      <c r="P627" s="6" t="n">
        <v>0</v>
      </c>
      <c r="Q627" s="6" t="n">
        <v>0</v>
      </c>
      <c r="R627" s="6" t="n">
        <v>0</v>
      </c>
      <c r="S627" s="6" t="n">
        <v>0</v>
      </c>
      <c r="T627" s="6" t="n">
        <v>0</v>
      </c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  <c r="BO627" s="6"/>
      <c r="BP627" s="6"/>
      <c r="BQ627" s="6"/>
    </row>
    <row r="628" customFormat="false" ht="12.75" hidden="false" customHeight="false" outlineLevel="0" collapsed="false">
      <c r="A628" s="1"/>
      <c r="C628" s="0" t="s">
        <v>22</v>
      </c>
      <c r="F628" s="4" t="s">
        <v>163</v>
      </c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</row>
    <row r="629" customFormat="false" ht="12.75" hidden="false" customHeight="false" outlineLevel="0" collapsed="false">
      <c r="A629" s="1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</row>
    <row r="630" customFormat="false" ht="12.75" hidden="false" customHeight="false" outlineLevel="0" collapsed="false">
      <c r="A630" s="1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</row>
    <row r="631" customFormat="false" ht="12.75" hidden="false" customHeight="false" outlineLevel="0" collapsed="false">
      <c r="A631" s="1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</row>
    <row r="632" customFormat="false" ht="12.75" hidden="false" customHeight="false" outlineLevel="0" collapsed="false">
      <c r="A632" s="1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</row>
    <row r="633" customFormat="false" ht="12.75" hidden="false" customHeight="false" outlineLevel="0" collapsed="false">
      <c r="A633" s="1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</row>
    <row r="634" customFormat="false" ht="12.75" hidden="false" customHeight="false" outlineLevel="0" collapsed="false">
      <c r="A634" s="1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</row>
    <row r="635" customFormat="false" ht="12.75" hidden="false" customHeight="false" outlineLevel="0" collapsed="false">
      <c r="A635" s="1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</row>
    <row r="636" customFormat="false" ht="12.75" hidden="false" customHeight="false" outlineLevel="0" collapsed="false">
      <c r="A636" s="1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</row>
    <row r="637" customFormat="false" ht="12.75" hidden="false" customHeight="false" outlineLevel="0" collapsed="false">
      <c r="A637" s="1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</row>
    <row r="638" customFormat="false" ht="12.75" hidden="false" customHeight="false" outlineLevel="0" collapsed="false">
      <c r="A638" s="1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</row>
    <row r="639" customFormat="false" ht="12.75" hidden="false" customHeight="false" outlineLevel="0" collapsed="false">
      <c r="A639" s="1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</row>
    <row r="640" customFormat="false" ht="12.75" hidden="false" customHeight="false" outlineLevel="0" collapsed="false">
      <c r="A640" s="1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</row>
    <row r="641" customFormat="false" ht="12.75" hidden="false" customHeight="false" outlineLevel="0" collapsed="false">
      <c r="A641" s="1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</row>
    <row r="642" customFormat="false" ht="12.75" hidden="false" customHeight="false" outlineLevel="0" collapsed="false">
      <c r="A642" s="1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</row>
    <row r="643" customFormat="false" ht="12.75" hidden="false" customHeight="false" outlineLevel="0" collapsed="false">
      <c r="A643" s="1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</row>
    <row r="644" customFormat="false" ht="12.75" hidden="false" customHeight="false" outlineLevel="0" collapsed="false">
      <c r="A644" s="1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</row>
    <row r="645" customFormat="false" ht="12.75" hidden="false" customHeight="false" outlineLevel="0" collapsed="false">
      <c r="A645" s="1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</row>
    <row r="646" customFormat="false" ht="12.75" hidden="false" customHeight="false" outlineLevel="0" collapsed="false">
      <c r="A646" s="1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</row>
    <row r="647" customFormat="false" ht="12.75" hidden="false" customHeight="false" outlineLevel="0" collapsed="false">
      <c r="A647" s="1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</row>
    <row r="648" customFormat="false" ht="12.75" hidden="false" customHeight="false" outlineLevel="0" collapsed="false">
      <c r="A648" s="1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</row>
    <row r="649" customFormat="false" ht="12.75" hidden="false" customHeight="false" outlineLevel="0" collapsed="false">
      <c r="A649" s="1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</row>
    <row r="650" customFormat="false" ht="12.75" hidden="false" customHeight="false" outlineLevel="0" collapsed="false">
      <c r="A650" s="1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</row>
    <row r="651" customFormat="false" ht="12.75" hidden="false" customHeight="false" outlineLevel="0" collapsed="false">
      <c r="A651" s="1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</row>
    <row r="652" customFormat="false" ht="12.75" hidden="false" customHeight="false" outlineLevel="0" collapsed="false">
      <c r="A652" s="1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</row>
    <row r="653" customFormat="false" ht="12.75" hidden="false" customHeight="false" outlineLevel="0" collapsed="false">
      <c r="A653" s="1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</row>
    <row r="654" customFormat="false" ht="12.75" hidden="false" customHeight="false" outlineLevel="0" collapsed="false">
      <c r="A654" s="1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</row>
    <row r="655" customFormat="false" ht="12.75" hidden="false" customHeight="false" outlineLevel="0" collapsed="false">
      <c r="A655" s="1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</row>
    <row r="656" customFormat="false" ht="12.75" hidden="false" customHeight="false" outlineLevel="0" collapsed="false">
      <c r="A656" s="1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</row>
    <row r="657" customFormat="false" ht="12.75" hidden="false" customHeight="false" outlineLevel="0" collapsed="false">
      <c r="A657" s="1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</row>
    <row r="658" customFormat="false" ht="12.75" hidden="false" customHeight="false" outlineLevel="0" collapsed="false">
      <c r="A658" s="1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</row>
    <row r="659" customFormat="false" ht="12.75" hidden="false" customHeight="false" outlineLevel="0" collapsed="false">
      <c r="A659" s="1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</row>
    <row r="660" customFormat="false" ht="12.75" hidden="false" customHeight="false" outlineLevel="0" collapsed="false">
      <c r="A660" s="1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</row>
    <row r="661" customFormat="false" ht="12.75" hidden="false" customHeight="false" outlineLevel="0" collapsed="false">
      <c r="A661" s="1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</row>
    <row r="662" customFormat="false" ht="12.75" hidden="false" customHeight="false" outlineLevel="0" collapsed="false">
      <c r="A662" s="1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</row>
    <row r="663" customFormat="false" ht="12.75" hidden="false" customHeight="false" outlineLevel="0" collapsed="false">
      <c r="A663" s="1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</row>
    <row r="664" customFormat="false" ht="12.75" hidden="false" customHeight="false" outlineLevel="0" collapsed="false">
      <c r="A664" s="1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</row>
    <row r="665" customFormat="false" ht="12.75" hidden="false" customHeight="false" outlineLevel="0" collapsed="false">
      <c r="A665" s="1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</row>
    <row r="666" customFormat="false" ht="12.75" hidden="false" customHeight="false" outlineLevel="0" collapsed="false">
      <c r="A666" s="1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</row>
    <row r="667" customFormat="false" ht="12.75" hidden="false" customHeight="false" outlineLevel="0" collapsed="false">
      <c r="A667" s="1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</row>
    <row r="668" customFormat="false" ht="12.75" hidden="false" customHeight="false" outlineLevel="0" collapsed="false">
      <c r="A668" s="1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</row>
    <row r="669" customFormat="false" ht="12.75" hidden="false" customHeight="false" outlineLevel="0" collapsed="false">
      <c r="A669" s="1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</row>
    <row r="670" customFormat="false" ht="12.75" hidden="false" customHeight="false" outlineLevel="0" collapsed="false">
      <c r="A670" s="1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</row>
    <row r="671" customFormat="false" ht="12.75" hidden="false" customHeight="false" outlineLevel="0" collapsed="false">
      <c r="A671" s="1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</row>
    <row r="672" customFormat="false" ht="12.75" hidden="false" customHeight="false" outlineLevel="0" collapsed="false">
      <c r="A672" s="1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</row>
    <row r="673" customFormat="false" ht="12.75" hidden="false" customHeight="false" outlineLevel="0" collapsed="false">
      <c r="A673" s="1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</row>
    <row r="674" customFormat="false" ht="12.75" hidden="false" customHeight="false" outlineLevel="0" collapsed="false">
      <c r="A674" s="1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</row>
    <row r="675" customFormat="false" ht="12.75" hidden="false" customHeight="false" outlineLevel="0" collapsed="false">
      <c r="A675" s="1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</row>
    <row r="676" customFormat="false" ht="12.75" hidden="false" customHeight="false" outlineLevel="0" collapsed="false">
      <c r="A676" s="1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</row>
    <row r="677" customFormat="false" ht="12.75" hidden="false" customHeight="false" outlineLevel="0" collapsed="false">
      <c r="A677" s="1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</row>
    <row r="678" customFormat="false" ht="12.75" hidden="false" customHeight="false" outlineLevel="0" collapsed="false">
      <c r="A678" s="1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</row>
    <row r="679" customFormat="false" ht="12.75" hidden="false" customHeight="false" outlineLevel="0" collapsed="false">
      <c r="A679" s="1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</row>
    <row r="680" customFormat="false" ht="12.75" hidden="false" customHeight="false" outlineLevel="0" collapsed="false">
      <c r="A680" s="1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</row>
    <row r="681" customFormat="false" ht="12.75" hidden="false" customHeight="false" outlineLevel="0" collapsed="false">
      <c r="A681" s="1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</row>
    <row r="682" customFormat="false" ht="12.75" hidden="false" customHeight="false" outlineLevel="0" collapsed="false">
      <c r="A682" s="1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</row>
    <row r="683" customFormat="false" ht="12.75" hidden="false" customHeight="false" outlineLevel="0" collapsed="false">
      <c r="A683" s="1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</row>
    <row r="684" customFormat="false" ht="12.75" hidden="false" customHeight="false" outlineLevel="0" collapsed="false">
      <c r="A684" s="1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</row>
    <row r="685" customFormat="false" ht="12.75" hidden="false" customHeight="false" outlineLevel="0" collapsed="false">
      <c r="A685" s="1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</row>
    <row r="686" customFormat="false" ht="12.75" hidden="false" customHeight="false" outlineLevel="0" collapsed="false">
      <c r="A686" s="1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</row>
    <row r="687" customFormat="false" ht="12.75" hidden="false" customHeight="false" outlineLevel="0" collapsed="false">
      <c r="A687" s="1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</row>
    <row r="688" customFormat="false" ht="12.75" hidden="false" customHeight="false" outlineLevel="0" collapsed="false">
      <c r="A688" s="1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</row>
    <row r="689" customFormat="false" ht="12.75" hidden="false" customHeight="false" outlineLevel="0" collapsed="false">
      <c r="A689" s="1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</row>
    <row r="690" customFormat="false" ht="12.75" hidden="false" customHeight="false" outlineLevel="0" collapsed="false">
      <c r="A690" s="1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</row>
    <row r="691" customFormat="false" ht="12.75" hidden="false" customHeight="false" outlineLevel="0" collapsed="false">
      <c r="A691" s="1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</row>
    <row r="692" customFormat="false" ht="12.75" hidden="false" customHeight="false" outlineLevel="0" collapsed="false">
      <c r="A692" s="1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</row>
    <row r="693" customFormat="false" ht="12.75" hidden="false" customHeight="false" outlineLevel="0" collapsed="false">
      <c r="A693" s="1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</row>
    <row r="694" customFormat="false" ht="12.75" hidden="false" customHeight="false" outlineLevel="0" collapsed="false">
      <c r="A694" s="1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</row>
    <row r="695" customFormat="false" ht="12.75" hidden="false" customHeight="false" outlineLevel="0" collapsed="false">
      <c r="A695" s="1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</row>
    <row r="696" customFormat="false" ht="12.75" hidden="false" customHeight="false" outlineLevel="0" collapsed="false">
      <c r="A696" s="1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</row>
    <row r="697" customFormat="false" ht="12.75" hidden="false" customHeight="false" outlineLevel="0" collapsed="false">
      <c r="A697" s="1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</row>
    <row r="698" customFormat="false" ht="12.75" hidden="false" customHeight="false" outlineLevel="0" collapsed="false">
      <c r="A698" s="1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</row>
    <row r="699" customFormat="false" ht="12.75" hidden="false" customHeight="false" outlineLevel="0" collapsed="false">
      <c r="A699" s="1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</row>
    <row r="700" customFormat="false" ht="12.75" hidden="false" customHeight="false" outlineLevel="0" collapsed="false">
      <c r="A700" s="1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</row>
    <row r="701" customFormat="false" ht="12.75" hidden="false" customHeight="false" outlineLevel="0" collapsed="false">
      <c r="A701" s="1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</row>
    <row r="702" customFormat="false" ht="12.75" hidden="false" customHeight="false" outlineLevel="0" collapsed="false">
      <c r="A702" s="1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</row>
    <row r="703" customFormat="false" ht="12.75" hidden="false" customHeight="false" outlineLevel="0" collapsed="false">
      <c r="A703" s="1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</row>
    <row r="704" customFormat="false" ht="12.75" hidden="false" customHeight="false" outlineLevel="0" collapsed="false">
      <c r="A704" s="1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</row>
    <row r="705" customFormat="false" ht="12.75" hidden="false" customHeight="false" outlineLevel="0" collapsed="false">
      <c r="A705" s="1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</row>
    <row r="706" customFormat="false" ht="12.75" hidden="false" customHeight="false" outlineLevel="0" collapsed="false">
      <c r="A706" s="1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</row>
    <row r="707" customFormat="false" ht="12.75" hidden="false" customHeight="false" outlineLevel="0" collapsed="false">
      <c r="A707" s="1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</row>
    <row r="708" customFormat="false" ht="12.75" hidden="false" customHeight="false" outlineLevel="0" collapsed="false">
      <c r="A708" s="1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</row>
    <row r="709" customFormat="false" ht="12.75" hidden="false" customHeight="false" outlineLevel="0" collapsed="false">
      <c r="A709" s="1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</row>
    <row r="710" customFormat="false" ht="12.75" hidden="false" customHeight="false" outlineLevel="0" collapsed="false">
      <c r="A710" s="1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</row>
    <row r="711" customFormat="false" ht="12.75" hidden="false" customHeight="false" outlineLevel="0" collapsed="false">
      <c r="A711" s="1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</row>
    <row r="712" customFormat="false" ht="12.75" hidden="false" customHeight="false" outlineLevel="0" collapsed="false">
      <c r="A712" s="1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</row>
    <row r="713" customFormat="false" ht="12.75" hidden="false" customHeight="false" outlineLevel="0" collapsed="false">
      <c r="A713" s="1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</row>
    <row r="714" customFormat="false" ht="12.75" hidden="false" customHeight="false" outlineLevel="0" collapsed="false">
      <c r="A714" s="1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</row>
    <row r="715" customFormat="false" ht="12.75" hidden="false" customHeight="false" outlineLevel="0" collapsed="false">
      <c r="A715" s="1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</row>
    <row r="716" customFormat="false" ht="12.75" hidden="false" customHeight="false" outlineLevel="0" collapsed="false">
      <c r="A716" s="1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</row>
    <row r="717" customFormat="false" ht="12.75" hidden="false" customHeight="false" outlineLevel="0" collapsed="false">
      <c r="A717" s="1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</row>
    <row r="718" customFormat="false" ht="12.75" hidden="false" customHeight="false" outlineLevel="0" collapsed="false">
      <c r="A718" s="1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</row>
    <row r="719" customFormat="false" ht="12.75" hidden="false" customHeight="false" outlineLevel="0" collapsed="false">
      <c r="A719" s="1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</row>
    <row r="720" customFormat="false" ht="12.75" hidden="false" customHeight="false" outlineLevel="0" collapsed="false">
      <c r="A720" s="1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</row>
    <row r="721" customFormat="false" ht="12.75" hidden="false" customHeight="false" outlineLevel="0" collapsed="false">
      <c r="A721" s="1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</row>
    <row r="722" customFormat="false" ht="12.75" hidden="false" customHeight="false" outlineLevel="0" collapsed="false">
      <c r="A722" s="1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</row>
    <row r="723" customFormat="false" ht="12.75" hidden="false" customHeight="false" outlineLevel="0" collapsed="false">
      <c r="A723" s="1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</row>
    <row r="724" customFormat="false" ht="12.75" hidden="false" customHeight="false" outlineLevel="0" collapsed="false">
      <c r="A724" s="1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</row>
    <row r="725" customFormat="false" ht="12.75" hidden="false" customHeight="false" outlineLevel="0" collapsed="false">
      <c r="A725" s="1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</row>
    <row r="726" customFormat="false" ht="12.75" hidden="false" customHeight="false" outlineLevel="0" collapsed="false">
      <c r="A726" s="1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</row>
    <row r="727" customFormat="false" ht="12.75" hidden="false" customHeight="false" outlineLevel="0" collapsed="false">
      <c r="A727" s="1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</row>
    <row r="728" customFormat="false" ht="12.75" hidden="false" customHeight="false" outlineLevel="0" collapsed="false">
      <c r="A728" s="1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</row>
    <row r="729" customFormat="false" ht="12.75" hidden="false" customHeight="false" outlineLevel="0" collapsed="false">
      <c r="A729" s="1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</row>
    <row r="730" customFormat="false" ht="12.75" hidden="false" customHeight="false" outlineLevel="0" collapsed="false">
      <c r="A730" s="1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</row>
    <row r="731" customFormat="false" ht="12.75" hidden="false" customHeight="false" outlineLevel="0" collapsed="false">
      <c r="A731" s="1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</row>
    <row r="732" customFormat="false" ht="12.75" hidden="false" customHeight="false" outlineLevel="0" collapsed="false">
      <c r="A732" s="1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</row>
    <row r="733" customFormat="false" ht="12.75" hidden="false" customHeight="false" outlineLevel="0" collapsed="false">
      <c r="A733" s="1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</row>
    <row r="734" customFormat="false" ht="12.75" hidden="false" customHeight="false" outlineLevel="0" collapsed="false">
      <c r="A734" s="1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</row>
    <row r="735" customFormat="false" ht="12.75" hidden="false" customHeight="false" outlineLevel="0" collapsed="false"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</row>
    <row r="736" customFormat="false" ht="12.75" hidden="false" customHeight="false" outlineLevel="0" collapsed="false"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</row>
    <row r="737" customFormat="false" ht="12.75" hidden="false" customHeight="false" outlineLevel="0" collapsed="false"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</row>
    <row r="738" customFormat="false" ht="12.75" hidden="false" customHeight="false" outlineLevel="0" collapsed="false"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</row>
    <row r="739" customFormat="false" ht="12.75" hidden="false" customHeight="false" outlineLevel="0" collapsed="false"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</row>
    <row r="740" customFormat="false" ht="12.75" hidden="false" customHeight="false" outlineLevel="0" collapsed="false"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</row>
    <row r="741" customFormat="false" ht="12.75" hidden="false" customHeight="false" outlineLevel="0" collapsed="false"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</row>
    <row r="742" customFormat="false" ht="12.75" hidden="false" customHeight="false" outlineLevel="0" collapsed="false"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</row>
    <row r="743" customFormat="false" ht="12.75" hidden="false" customHeight="false" outlineLevel="0" collapsed="false"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</row>
    <row r="744" customFormat="false" ht="12.75" hidden="false" customHeight="false" outlineLevel="0" collapsed="false"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</row>
    <row r="745" customFormat="false" ht="12.75" hidden="false" customHeight="false" outlineLevel="0" collapsed="false"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</row>
    <row r="746" customFormat="false" ht="12.75" hidden="false" customHeight="false" outlineLevel="0" collapsed="false"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</row>
    <row r="747" customFormat="false" ht="12.75" hidden="false" customHeight="false" outlineLevel="0" collapsed="false"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</row>
    <row r="748" customFormat="false" ht="12.75" hidden="false" customHeight="false" outlineLevel="0" collapsed="false"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</row>
    <row r="749" customFormat="false" ht="12.75" hidden="false" customHeight="false" outlineLevel="0" collapsed="false"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</row>
    <row r="750" customFormat="false" ht="12.75" hidden="false" customHeight="false" outlineLevel="0" collapsed="false"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</row>
    <row r="751" customFormat="false" ht="12.75" hidden="false" customHeight="false" outlineLevel="0" collapsed="false"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</row>
    <row r="752" customFormat="false" ht="12.75" hidden="false" customHeight="false" outlineLevel="0" collapsed="false"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</row>
    <row r="753" customFormat="false" ht="12.75" hidden="false" customHeight="false" outlineLevel="0" collapsed="false"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</row>
    <row r="754" customFormat="false" ht="12.75" hidden="false" customHeight="false" outlineLevel="0" collapsed="false"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</row>
    <row r="755" customFormat="false" ht="12.75" hidden="false" customHeight="false" outlineLevel="0" collapsed="false"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</row>
  </sheetData>
  <printOptions headings="false" gridLines="false" gridLinesSet="true" horizontalCentered="false" verticalCentered="false"/>
  <pageMargins left="0.340277777777778" right="0.259722222222222" top="0.170138888888889" bottom="0.209722222222222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4" activeCellId="0" sqref="B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.85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1999-12-06T17:34:21Z</dcterms:created>
  <dc:creator>CES</dc:creator>
  <dc:description/>
  <dc:language>en-US</dc:language>
  <cp:lastModifiedBy>CES</cp:lastModifiedBy>
  <cp:lastPrinted>1999-12-22T15:13:03Z</cp:lastPrinted>
  <cp:revision>0</cp:revision>
  <dc:subject/>
  <dc:title/>
</cp:coreProperties>
</file>