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drawings/drawing9.xml" ContentType="application/vnd.openxmlformats-officedocument.drawing+xml"/>
  <Override PartName="/xl/drawings/vmlDrawing8.vml" ContentType="application/vnd.openxmlformats-officedocument.vmlDrawing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vmlDrawing1.vml" ContentType="application/vnd.openxmlformats-officedocument.vmlDrawing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vmlDrawing7.vml" ContentType="application/vnd.openxmlformats-officedocument.vmlDrawing"/>
  <Override PartName="/xl/drawings/drawing8.xml" ContentType="application/vnd.openxmlformats-officedocument.drawing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Explaination about this model" sheetId="1" state="hidden" r:id="rId3"/>
    <sheet name="Org Chart" sheetId="2" state="hidden" r:id="rId4"/>
    <sheet name="Summary" sheetId="3" state="hidden" r:id="rId5"/>
    <sheet name="Assumptions" sheetId="4" state="visible" r:id="rId6"/>
    <sheet name="Valuation Summary" sheetId="5" state="visible" r:id="rId7"/>
    <sheet name="Unlev. Consolid" sheetId="6" state="visible" r:id="rId8"/>
    <sheet name="Lev. Consolid" sheetId="7" state="visible" r:id="rId9"/>
    <sheet name="Northern Natural DCF" sheetId="8" state="visible" r:id="rId10"/>
    <sheet name="Transwestern DCF" sheetId="9" state="visible" r:id="rId11"/>
    <sheet name="NBP DCF" sheetId="10" state="visible" r:id="rId12"/>
    <sheet name="Citrus DCF" sheetId="11" state="visible" r:id="rId13"/>
    <sheet name="Trailblazer DCF" sheetId="12" state="visible" r:id="rId14"/>
    <sheet name="Scenarios" sheetId="13" state="visible" r:id="rId15"/>
    <sheet name="Debt" sheetId="14" state="visible" r:id="rId16"/>
    <sheet name="Pipeline Co IS" sheetId="15" state="hidden" r:id="rId17"/>
    <sheet name="Pipeline Co BS" sheetId="16" state="hidden" r:id="rId18"/>
    <sheet name="Pipeline Co CF" sheetId="17" state="hidden" r:id="rId19"/>
    <sheet name="Pipeline Vols" sheetId="18" state="hidden" r:id="rId20"/>
    <sheet name="Curves" sheetId="19" state="hidden" r:id="rId21"/>
    <sheet name="Cons. BS" sheetId="20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function="false" hidden="false" localSheetId="3" name="_xlnm.Print_Area" vbProcedure="false">Assumptions!$A$1:$J$50</definedName>
    <definedName function="false" hidden="false" localSheetId="10" name="_xlnm.Print_Area" vbProcedure="false">'Citrus DCF'!$A$1:$R$128</definedName>
    <definedName function="false" hidden="false" localSheetId="18" name="_xlnm.Print_Area" vbProcedure="false">Curves!$A$1:$N$51</definedName>
    <definedName function="false" hidden="false" localSheetId="13" name="_xlnm.Print_Area" vbProcedure="false">Debt!$A$1:$N$28</definedName>
    <definedName function="false" hidden="false" localSheetId="6" name="_xlnm.Print_Area" vbProcedure="false">'Lev. Consolid'!$A$1:$O$40</definedName>
    <definedName function="false" hidden="false" localSheetId="9" name="_xlnm.Print_Area" vbProcedure="false">'NBP DCF'!$A$1:$Q$93</definedName>
    <definedName function="false" hidden="false" localSheetId="7" name="_xlnm.Print_Area" vbProcedure="false">'Northern Natural DCF'!$A$1:$R$135</definedName>
    <definedName function="false" hidden="false" localSheetId="14" name="_xlnm.Print_Area" vbProcedure="false">'Pipeline Co IS'!$A$1:$Q$70</definedName>
    <definedName function="false" hidden="false" localSheetId="12" name="_xlnm.Print_Area" vbProcedure="false">Scenarios!$A$1:$M$29</definedName>
    <definedName function="false" hidden="false" localSheetId="11" name="_xlnm.Print_Area" vbProcedure="false">'Trailblazer DCF'!$A$1:$R$135</definedName>
    <definedName function="false" hidden="false" localSheetId="8" name="_xlnm.Print_Area" vbProcedure="false">'Transwestern DCF'!$A$1:$R$135</definedName>
    <definedName function="false" hidden="false" localSheetId="5" name="_xlnm.Print_Area" vbProcedure="false">'Unlev. Consolid'!$A$1:$R$121</definedName>
    <definedName function="false" hidden="false" name="AACFHDRCOL" vbProcedure="false">[1]JuneYTD!$BG$80</definedName>
    <definedName function="false" hidden="false" name="AACFHDRROW" vbProcedure="false">[1]JuneYTD!$BG$80</definedName>
    <definedName function="false" hidden="false" name="AACFWKS" vbProcedure="false">[1]JuneYTD!$BG$80</definedName>
    <definedName function="false" hidden="false" name="AACFWKS1" vbProcedure="false">[1]JuneYTD!$BG$80</definedName>
    <definedName function="false" hidden="false" name="AACFWKS2" vbProcedure="false">[1]JuneYTD!$BG$80</definedName>
    <definedName function="false" hidden="false" name="AAWSSIDEWAYS" vbProcedure="false">[1]JuneYTD!$BG$80</definedName>
    <definedName function="false" hidden="false" name="ADJUSTMENTS" vbProcedure="false">[1]JuneYTD!$BG$80</definedName>
    <definedName function="false" hidden="false" name="AgLoop" vbProcedure="false">[2]Agave!$J$50</definedName>
    <definedName function="false" hidden="false" name="AgPurPrice" vbProcedure="false">[2]Agave!$K$50</definedName>
    <definedName function="false" hidden="false" name="ArkDRate" vbProcedure="false">#REF!</definedName>
    <definedName function="false" hidden="false" name="ArkLoop" vbProcedure="false">#REF!</definedName>
    <definedName function="false" hidden="false" name="ArkNPVPrice" vbProcedure="false">#REF!</definedName>
    <definedName function="false" hidden="false" name="ArkPurPrice" vbProcedure="false">#REF!</definedName>
    <definedName function="false" hidden="false" name="ARLoop" vbProcedure="false">'[4]Antelope Ridge'!$J$73</definedName>
    <definedName function="false" hidden="false" name="ARPurPrice" vbProcedure="false">'[4]Antelope Ridge'!$K$73</definedName>
    <definedName function="false" hidden="false" name="Asset1Drate" vbProcedure="false">#REF!</definedName>
    <definedName function="false" hidden="false" name="Asset1NPVPrice" vbProcedure="false">#REF!</definedName>
    <definedName function="false" hidden="false" name="Asset1PurPrice" vbProcedure="false">#REF!</definedName>
    <definedName function="false" hidden="false" name="Asset2Drate" vbProcedure="false">#REF!</definedName>
    <definedName function="false" hidden="false" name="Asset2Loop" vbProcedure="false">#REF!</definedName>
    <definedName function="false" hidden="false" name="Asset2NPVPrice" vbProcedure="false">#REF!</definedName>
    <definedName function="false" hidden="false" name="Asset2PurPrice" vbProcedure="false">#REF!</definedName>
    <definedName function="false" hidden="false" name="Asset3Drate" vbProcedure="false">'Northern Natural DCF'!$M$41</definedName>
    <definedName function="false" hidden="false" name="Asset4DRate" vbProcedure="false">#REF!</definedName>
    <definedName function="false" hidden="false" name="Asset4Loop" vbProcedure="false">#REF!</definedName>
    <definedName function="false" hidden="false" name="Asset4NPVPrice" vbProcedure="false">#REF!</definedName>
    <definedName function="false" hidden="false" name="Asset4PurPrice" vbProcedure="false">#REF!</definedName>
    <definedName function="false" hidden="false" name="ASSETS" vbProcedure="false">[1]JuneYTD!$BG$80</definedName>
    <definedName function="false" hidden="false" name="AWAACF" vbProcedure="false">[1]JuneYTD!$BG$80</definedName>
    <definedName function="false" hidden="false" name="AWBALSHT" vbProcedure="false">[1]JuneYTD!$BG$80</definedName>
    <definedName function="false" hidden="false" name="AWCFWKS" vbProcedure="false">[1]JuneYTD!$BG$80</definedName>
    <definedName function="false" hidden="false" name="AWGRPCF" vbProcedure="false">[1]JuneYTD!$BG$80</definedName>
    <definedName function="false" hidden="false" name="AWGRPCF_BRDR" vbProcedure="false">[1]JuneYTD!$BG$80</definedName>
    <definedName function="false" hidden="false" name="BALSHT" vbProcedure="false">[1]JuneYTD!$BG$80</definedName>
    <definedName function="false" hidden="false" name="BB" vbProcedure="false">[1]JuneYTD!$BG$80</definedName>
    <definedName function="false" hidden="false" name="BBK" vbProcedure="false">[1]JuneYTD!$BG$80</definedName>
    <definedName function="false" hidden="false" name="BBK1" vbProcedure="false">[1]JuneYTD!$BG$80</definedName>
    <definedName function="false" hidden="false" name="BBTITLE" vbProcedure="false">[1]JuneYTD!$BG$80</definedName>
    <definedName function="false" hidden="false" name="BLANK" vbProcedure="false">[1]JuneYTD!$BG$80</definedName>
    <definedName function="false" hidden="false" name="BLANK1" vbProcedure="false">[1]JuneYTD!$BG$80</definedName>
    <definedName function="false" hidden="false" name="BORDERC" vbProcedure="false">[1]JuneYTD!$BG$80</definedName>
    <definedName function="false" hidden="false" name="BORDERC1" vbProcedure="false">[1]JuneYTD!$BG$80</definedName>
    <definedName function="false" hidden="false" name="BORDERCAAWP" vbProcedure="false">[1]JuneYTD!$BG$80</definedName>
    <definedName function="false" hidden="false" name="BORDERNONCUR" vbProcedure="false">[1]JuneYTD!$BG$80</definedName>
    <definedName function="false" hidden="false" name="BORDERR" vbProcedure="false">[1]JuneYTD!$BG$80</definedName>
    <definedName function="false" hidden="false" name="BORDERR1" vbProcedure="false">[1]JuneYTD!$BG$80</definedName>
    <definedName function="false" hidden="false" name="BORDERRAAWP" vbProcedure="false">[1]JuneYTD!$BG$80</definedName>
    <definedName function="false" hidden="false" name="BORDERRWWAP" vbProcedure="false">[1]JuneYTD!$BG$80</definedName>
    <definedName function="false" hidden="false" name="BSTITLE" vbProcedure="false">[1]JuneYTD!$BG$80</definedName>
    <definedName function="false" hidden="false" name="BSTITLE1" vbProcedure="false">[1]JuneYTD!$BG$80</definedName>
    <definedName function="false" hidden="false" name="BS_TitleRow" vbProcedure="false">[1]JuneYTD!$BG$80</definedName>
    <definedName function="false" hidden="false" name="CASHFLOW" vbProcedure="false">[1]JuneYTD!$BG$80</definedName>
    <definedName function="false" hidden="false" name="CASHFLOW1" vbProcedure="false">[1]JuneYTD!$BG$80</definedName>
    <definedName function="false" hidden="false" name="CATEGORY" vbProcedure="false">[1]JuneYTD!$BG$80</definedName>
    <definedName function="false" hidden="false" name="CATEGORY2" vbProcedure="false">[1]JuneYTD!$BG$80</definedName>
    <definedName function="false" hidden="false" name="CDRate" vbProcedure="false">'Unlev. Consolid'!$O$116</definedName>
    <definedName function="false" hidden="false" name="CF" vbProcedure="false">[1]JuneYTD!$BG$80</definedName>
    <definedName function="false" hidden="false" name="CFTITLE" vbProcedure="false">[1]JuneYTD!$BG$80</definedName>
    <definedName function="false" hidden="false" name="CFTITLE1" vbProcedure="false">[1]JuneYTD!$BG$80</definedName>
    <definedName function="false" hidden="false" name="CF_WKS_TitleRow" vbProcedure="false">[1]JuneYTD!$BG$80</definedName>
    <definedName function="false" hidden="false" name="CHGNONCUR" vbProcedure="false">[1]JuneYTD!$BG$80</definedName>
    <definedName function="false" hidden="false" name="CitrusLoop" vbProcedure="false">'Citrus DCF'!$F$60</definedName>
    <definedName function="false" hidden="false" name="CitrusNPVPrice" vbProcedure="false">'Citrus DCF'!$L$60</definedName>
    <definedName function="false" hidden="false" name="CitrusPurPrice" vbProcedure="false">'Citrus DCF'!$G$60</definedName>
    <definedName function="false" hidden="false" name="CLoop" vbProcedure="false">'Unlev. Consolid'!$J$118</definedName>
    <definedName function="false" hidden="false" name="CM" vbProcedure="false">[1]JuneYTD!$BG$80</definedName>
    <definedName function="false" hidden="false" name="CNPVPrice" vbProcedure="false">'Unlev. Consolid'!$O$118</definedName>
    <definedName function="false" hidden="false" name="Company" vbProcedure="false">'[5]Print Controls'!$AD$5</definedName>
    <definedName function="false" hidden="false" name="ConsDRate" vbProcedure="false">Assumptions!$D$12</definedName>
    <definedName function="false" hidden="false" name="CPurPrice" vbProcedure="false">'Unlev. Consolid'!$K$118</definedName>
    <definedName function="false" hidden="false" name="CurrentGasPrice" vbProcedure="false">#REF!</definedName>
    <definedName function="false" hidden="false" name="DATE1" vbProcedure="false">[1]JuneYTD!$BG$80</definedName>
    <definedName function="false" hidden="false" name="DATE2" vbProcedure="false">[1]JuneYTD!$BG$80</definedName>
    <definedName function="false" hidden="false" name="DATE3" vbProcedure="false">[1]JuneYTD!$BG$80</definedName>
    <definedName function="false" hidden="false" name="DATE4" vbProcedure="false">[1]JuneYTD!$BG$80</definedName>
    <definedName function="false" hidden="false" name="DateHeader" vbProcedure="false">'[5]Print Controls'!$AE$13</definedName>
    <definedName function="false" hidden="false" name="DATEPRYR" vbProcedure="false">[1]JuneYTD!$BG$80</definedName>
    <definedName function="false" hidden="false" name="DESC" vbProcedure="false">[1]JuneYTD!$BG$80</definedName>
    <definedName function="false" hidden="false" name="dollarheader" vbProcedure="false">'[5]P&amp;L'!$B$6</definedName>
    <definedName function="false" hidden="false" name="ELoop" vbProcedure="false">[2]Enron!$J$50</definedName>
    <definedName function="false" hidden="false" name="EPurPrice" vbProcedure="false">[2]Enron!$K$50</definedName>
    <definedName function="false" hidden="false" name="FSDRate" vbProcedure="false">#REF!</definedName>
    <definedName function="false" hidden="false" name="FSLoop" vbProcedure="false">#REF!</definedName>
    <definedName function="false" hidden="false" name="FSNPVPrice" vbProcedure="false">#REF!</definedName>
    <definedName function="false" hidden="false" name="FSPurPrice" vbProcedure="false">#REF!</definedName>
    <definedName function="false" hidden="false" name="GROUP" vbProcedure="false">[1]JuneYTD!$BG$80</definedName>
    <definedName function="false" hidden="false" name="GROUPYTD" vbProcedure="false">[1]JuneYTD!$BG$80</definedName>
    <definedName function="false" hidden="false" name="GrpPrtRng" vbProcedure="false">[1]JuneYTD!$BG$80</definedName>
    <definedName function="false" hidden="false" name="GRPTITLE" vbProcedure="false">[1]JuneYTD!$BG$80</definedName>
    <definedName function="false" hidden="false" name="GRPTITLE1" vbProcedure="false">[1]JuneYTD!$BG$80</definedName>
    <definedName function="false" hidden="false" name="GRPTITLE2" vbProcedure="false">[1]JuneYTD!$BG$80</definedName>
    <definedName function="false" hidden="false" name="GrpTitleCol" vbProcedure="false">[1]JuneYTD!$BG$80</definedName>
    <definedName function="false" hidden="false" name="GWLoop" vbProcedure="false">#REF!</definedName>
    <definedName function="false" hidden="false" name="HoLoop" vbProcedure="false">[4]Hobbs!$J$73</definedName>
    <definedName function="false" hidden="false" name="LIABILITIES" vbProcedure="false">[1]JuneYTD!$BG$80</definedName>
    <definedName function="false" hidden="false" name="LlLoop" vbProcedure="false">[4]Llano!$J$73</definedName>
    <definedName function="false" hidden="false" name="LlPurPrice" vbProcedure="false">[4]Llano!$K$73</definedName>
    <definedName function="false" hidden="false" name="MethDRate" vbProcedure="false">#REF!</definedName>
    <definedName function="false" hidden="false" name="MethLoop" vbProcedure="false">#REF!</definedName>
    <definedName function="false" hidden="false" name="MethNPVPrice" vbProcedure="false">#REF!</definedName>
    <definedName function="false" hidden="false" name="MethPurPrice" vbProcedure="false">#REF!</definedName>
    <definedName function="false" hidden="false" name="MinneDRate" vbProcedure="false">#REF!</definedName>
    <definedName function="false" hidden="false" name="MinneLoop" vbProcedure="false">#REF!</definedName>
    <definedName function="false" hidden="false" name="MinneNPVPrice" vbProcedure="false">#REF!</definedName>
    <definedName function="false" hidden="false" name="MinneNPVRate" vbProcedure="false">#REF!</definedName>
    <definedName function="false" hidden="false" name="MinPurPrice" vbProcedure="false">#REF!</definedName>
    <definedName function="false" hidden="false" name="NAME1" vbProcedure="false">[1]JuneYTD!$BG$80</definedName>
    <definedName function="false" hidden="false" name="NBP_Loop" vbProcedure="false">'NBP DCF'!$F$38</definedName>
    <definedName function="false" hidden="false" name="NBP_NPVPrice" vbProcedure="false">'NBP DCF'!$L$38</definedName>
    <definedName function="false" hidden="false" name="NBP_PurPrice" vbProcedure="false">'NBP DCF'!$G$38</definedName>
    <definedName function="false" hidden="false" name="NN_Loop" vbProcedure="false">'Northern Natural DCF'!$G$43</definedName>
    <definedName function="false" hidden="false" name="NN_NPVPrice" vbProcedure="false">'Northern Natural DCF'!$M$43</definedName>
    <definedName function="false" hidden="false" name="NN_PurPrice" vbProcedure="false">'Northern Natural DCF'!$H$43</definedName>
    <definedName function="false" hidden="false" name="OBLDRate" vbProcedure="false">#REF!</definedName>
    <definedName function="false" hidden="false" name="OBLLoop" vbProcedure="false">#REF!</definedName>
    <definedName function="false" hidden="false" name="OBLNPVPrice" vbProcedure="false">#REF!</definedName>
    <definedName function="false" hidden="false" name="OBLPurPrice" vbProcedure="false">#REF!</definedName>
    <definedName function="false" hidden="false" name="OLoop" vbProcedure="false">[2]Orphans!$J$48</definedName>
    <definedName function="false" hidden="false" name="OPurPrice" vbProcedure="false">[2]Orphans!$K$48</definedName>
    <definedName function="false" hidden="false" name="OTHERBORDER" vbProcedure="false">[1]JuneYTD!$BG$80</definedName>
    <definedName function="false" hidden="false" name="OTHERNC" vbProcedure="false">[1]JuneYTD!$BG$80</definedName>
    <definedName function="false" hidden="false" name="OTHERTITLES" vbProcedure="false">[1]JuneYTD!$BG$80</definedName>
    <definedName function="false" hidden="false" name="OtLoop" vbProcedure="false">[4]Other!$J$73</definedName>
    <definedName function="false" hidden="false" name="OtPurPrice" vbProcedure="false">[4]Other!$K$73</definedName>
    <definedName function="false" hidden="false" name="Print_Area_MI" vbProcedure="false">[1]JuneYTD!$BG$80</definedName>
    <definedName function="false" hidden="false" name="Print_Titles_MI" vbProcedure="false">[1]JuneYTD!$BG$80,[1]JuneYTD!B$28417</definedName>
    <definedName function="false" hidden="false" name="PRIORBB" vbProcedure="false">[1]JuneYTD!$BG$80</definedName>
    <definedName function="false" hidden="false" name="PRT_RNG_AA" vbProcedure="false">[1]JuneYTD!$BG$80</definedName>
    <definedName function="false" hidden="false" name="PTDRate" vbProcedure="false">'[3]Power Tex'!$O$71</definedName>
    <definedName function="false" hidden="false" name="PTLoop" vbProcedure="false">'[3]Power Tex'!$J$73</definedName>
    <definedName function="false" hidden="false" name="PTPurPrice" vbProcedure="false">'[3]Power Tex'!$K$73</definedName>
    <definedName function="false" hidden="false" name="REPORT" vbProcedure="false">[1]JuneYTD!$BG$80</definedName>
    <definedName function="false" hidden="false" name="RTLoop" vbProcedure="false">'[4]Reg Trans (311)'!$J$73</definedName>
    <definedName function="false" hidden="false" name="RTPurPrice" vbProcedure="false">'[4]Reg Trans (311)'!$K$73</definedName>
    <definedName function="false" hidden="false" name="Salvage_Multiple" vbProcedure="false">Assumptions!$E$22</definedName>
    <definedName function="false" hidden="false" name="SRLoop" vbProcedure="false">'[4]Sale Ranch'!$J$73</definedName>
    <definedName function="false" hidden="false" name="SRPurPrice" vbProcedure="false">'[4]Sale Ranch'!$K$73</definedName>
    <definedName function="false" hidden="false" name="StLoop" vbProcedure="false">[4]Storage!$J$73</definedName>
    <definedName function="false" hidden="false" name="StPurPrice" vbProcedure="false">[4]Storage!$K$73</definedName>
    <definedName function="false" hidden="false" name="TaxRate" vbProcedure="false">[2]CONSOLIDATED!$B$30</definedName>
    <definedName function="false" hidden="false" name="TB_Loop" vbProcedure="false">'Trailblazer DCF'!$G$43</definedName>
    <definedName function="false" hidden="false" name="TB_NPVPrice" vbProcedure="false">'Trailblazer DCF'!$M$43</definedName>
    <definedName function="false" hidden="false" name="TB_PurPrice" vbProcedure="false">'Trailblazer DCF'!$H$43</definedName>
    <definedName function="false" hidden="false" name="Titles_Rptg_Grp_Wks" vbProcedure="false">[1]JuneYTD!$BG$80</definedName>
    <definedName function="false" hidden="false" name="TW_Loop" vbProcedure="false">'Transwestern DCF'!$G$43</definedName>
    <definedName function="false" hidden="false" name="TW_NPV" vbProcedure="false">'Transwestern DCF'!$M$43</definedName>
    <definedName function="false" hidden="false" name="TW_NPVPrice" vbProcedure="false">'Transwestern DCF'!$M$43</definedName>
    <definedName function="false" hidden="false" name="TW_PurPrice" vbProcedure="false">'Transwestern DCF'!$H$43</definedName>
    <definedName function="false" hidden="false" name="UCMLPEquity" vbProcedure="false">#REF!</definedName>
    <definedName function="false" hidden="false" name="UCMLPLoop" vbProcedure="false">#REF!</definedName>
    <definedName function="false" hidden="false" name="UCMLPNPV" vbProcedure="false">#REF!</definedName>
    <definedName function="false" hidden="false" name="YTDBB" vbProcedure="false">[1]JuneYTD!$BG$80</definedName>
    <definedName function="false" hidden="false" localSheetId="8" name="Asset3Drate" vbProcedure="false">'Transwestern DCF'!$M$41</definedName>
    <definedName function="false" hidden="false" localSheetId="9" name="Asset1Drate" vbProcedure="false">'NBP DCF'!$L$36</definedName>
    <definedName function="false" hidden="false" localSheetId="9" name="CurrentGasPrice" vbProcedure="false">#REF!</definedName>
    <definedName function="false" hidden="false" localSheetId="9" name="GWLoop" vbProcedure="false">#REF!</definedName>
    <definedName function="false" hidden="false" localSheetId="9" name="UCMLPEquity" vbProcedure="false">'[6]Unlevered Base Case'!$J$87</definedName>
    <definedName function="false" hidden="false" localSheetId="9" name="UCMLPLoop" vbProcedure="false">'[6]Unlevered Base Case'!$I$87</definedName>
    <definedName function="false" hidden="false" localSheetId="9" name="UCMLPNPV" vbProcedure="false">'[6]Unlevered Base Case'!$O$87</definedName>
    <definedName function="false" hidden="false" localSheetId="10" name="Asset3Drate" vbProcedure="false">'[7]Pipeline Co'!$L$77</definedName>
    <definedName function="false" hidden="false" localSheetId="10" name="CurrentGasPrice" vbProcedure="false">'[7]Cons. BS'!$C$15</definedName>
    <definedName function="false" hidden="false" localSheetId="10" name="GWLoop" vbProcedure="false">'[7]Cons. BS'!$G$20</definedName>
    <definedName function="false" hidden="false" localSheetId="10" name="UCMLPEquity" vbProcedure="false">'[7]Unlev. Consolid'!$J$87</definedName>
    <definedName function="false" hidden="false" localSheetId="10" name="UCMLPLoop" vbProcedure="false">'[7]Unlev. Consolid'!$I$87</definedName>
    <definedName function="false" hidden="false" localSheetId="10" name="UCMLPNPV" vbProcedure="false">'[7]Unlev. Consolid'!$O$87</definedName>
    <definedName function="false" hidden="false" localSheetId="11" name="Asset3Drate" vbProcedure="false">'Trailblazer DCF'!$M$41</definedName>
    <definedName function="false" hidden="false" localSheetId="14" name="Asset3Drate" vbProcedure="false">#REF!</definedName>
    <definedName function="false" hidden="false" localSheetId="14" name="Asset3Loop" vbProcedure="false">#REF!</definedName>
    <definedName function="false" hidden="false" localSheetId="14" name="Asset3NPVPrice" vbProcedure="false">#REF!</definedName>
    <definedName function="false" hidden="false" localSheetId="14" name="Asset3PurPrice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10</xdr:row>
                <xdr:rowOff>15</xdr:rowOff>
              </xdr:from>
              <xdr:to>
                <xdr:col>2</xdr:col>
                <xdr:colOff>18</xdr:colOff>
                <xdr:row>15</xdr:row>
                <xdr:rowOff>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18</xdr:row>
                <xdr:rowOff>15</xdr:rowOff>
              </xdr:from>
              <xdr:to>
                <xdr:col>1</xdr:col>
                <xdr:colOff>92</xdr:colOff>
                <xdr:row>24</xdr:row>
                <xdr:rowOff>13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28</xdr:row>
                <xdr:rowOff>7</xdr:rowOff>
              </xdr:from>
              <xdr:to>
                <xdr:col>2</xdr:col>
                <xdr:colOff>47</xdr:colOff>
                <xdr:row>32</xdr:row>
                <xdr:rowOff>13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30</xdr:row>
                <xdr:rowOff>2</xdr:rowOff>
              </xdr:from>
              <xdr:to>
                <xdr:col>2</xdr:col>
                <xdr:colOff>45</xdr:colOff>
                <xdr:row>34</xdr:row>
                <xdr:rowOff>15</xdr:rowOff>
              </xdr:to>
            </anchor>
          </commentPr>
        </mc:Choice>
        <mc:Fallback/>
      </mc:AlternateContent>
    </comment>
    <comment ref="C84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 as of YE2001.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48</xdr:colOff>
                <xdr:row>91</xdr:row>
                <xdr:rowOff>8</xdr:rowOff>
              </xdr:from>
              <xdr:to>
                <xdr:col>4</xdr:col>
                <xdr:colOff>67</xdr:colOff>
                <xdr:row>122</xdr:row>
                <xdr:rowOff>17</xdr:rowOff>
              </xdr:to>
            </anchor>
          </commentPr>
        </mc:Choice>
        <mc:Fallback/>
      </mc:AlternateContent>
    </comment>
    <comment ref="H35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33</xdr:row>
                <xdr:rowOff>5</xdr:rowOff>
              </xdr:from>
              <xdr:to>
                <xdr:col>9</xdr:col>
                <xdr:colOff>25</xdr:colOff>
                <xdr:row>35</xdr:row>
                <xdr:rowOff>6</xdr:rowOff>
              </xdr:to>
            </anchor>
          </commentPr>
        </mc:Choice>
        <mc:Fallback/>
      </mc:AlternateContent>
    </comment>
    <comment ref="H38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</xdr:colOff>
                <xdr:row>35</xdr:row>
                <xdr:rowOff>15</xdr:rowOff>
              </xdr:from>
              <xdr:to>
                <xdr:col>8</xdr:col>
                <xdr:colOff>57</xdr:colOff>
                <xdr:row>42</xdr:row>
                <xdr:rowOff>13</xdr:rowOff>
              </xdr:to>
            </anchor>
          </commentPr>
        </mc:Choice>
        <mc:Fallback/>
      </mc:AlternateContent>
    </comment>
    <comment ref="Q32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0</xdr:colOff>
                <xdr:row>29</xdr:row>
                <xdr:rowOff>2</xdr:rowOff>
              </xdr:from>
              <xdr:to>
                <xdr:col>17</xdr:col>
                <xdr:colOff>-59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</xdr:row>
                <xdr:rowOff>4</xdr:rowOff>
              </xdr:from>
              <xdr:to>
                <xdr:col>2</xdr:col>
                <xdr:colOff>66</xdr:colOff>
                <xdr:row>17</xdr:row>
                <xdr:rowOff>11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21</xdr:row>
                <xdr:rowOff>4</xdr:rowOff>
              </xdr:from>
              <xdr:to>
                <xdr:col>2</xdr:col>
                <xdr:colOff>35</xdr:colOff>
                <xdr:row>26</xdr:row>
                <xdr:rowOff>9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30</xdr:row>
                <xdr:rowOff>4</xdr:rowOff>
              </xdr:from>
              <xdr:to>
                <xdr:col>2</xdr:col>
                <xdr:colOff>35</xdr:colOff>
                <xdr:row>34</xdr:row>
                <xdr:rowOff>10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33</xdr:row>
                <xdr:rowOff>4</xdr:rowOff>
              </xdr:from>
              <xdr:to>
                <xdr:col>2</xdr:col>
                <xdr:colOff>35</xdr:colOff>
                <xdr:row>58</xdr:row>
                <xdr:rowOff>7</xdr:rowOff>
              </xdr:to>
            </anchor>
          </commentPr>
        </mc:Choice>
        <mc:Fallback/>
      </mc:AlternateContent>
    </comment>
    <comment ref="A97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Natrual Gas Purchased for 1998-2000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95</xdr:row>
                <xdr:rowOff>7</xdr:rowOff>
              </xdr:from>
              <xdr:to>
                <xdr:col>2</xdr:col>
                <xdr:colOff>34</xdr:colOff>
                <xdr:row>99</xdr:row>
                <xdr:rowOff>12</xdr:rowOff>
              </xdr:to>
            </anchor>
          </commentPr>
        </mc:Choice>
        <mc:Fallback/>
      </mc:AlternateContent>
    </comment>
    <comment ref="C118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Uses 2000 Net Book value for Assets.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110</xdr:row>
                <xdr:rowOff>13</xdr:rowOff>
              </xdr:from>
              <xdr:to>
                <xdr:col>4</xdr:col>
                <xdr:colOff>41</xdr:colOff>
                <xdr:row>115</xdr:row>
                <xdr:rowOff>16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Interest Expense zeroed out since this is unlevered company valuation.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7</xdr:rowOff>
              </xdr:from>
              <xdr:to>
                <xdr:col>8</xdr:col>
                <xdr:colOff>35</xdr:colOff>
                <xdr:row>22</xdr:row>
                <xdr:rowOff>12</xdr:rowOff>
              </xdr:to>
            </anchor>
          </commentPr>
        </mc:Choice>
        <mc:Fallback/>
      </mc:AlternateContent>
    </comment>
    <comment ref="G131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No depreciation base for 2000 assets, so used 2001 as proxy for 2000 capex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4</xdr:colOff>
                <xdr:row>169</xdr:row>
                <xdr:rowOff>9</xdr:rowOff>
              </xdr:from>
              <xdr:to>
                <xdr:col>8</xdr:col>
                <xdr:colOff>24</xdr:colOff>
                <xdr:row>173</xdr:row>
                <xdr:rowOff>15</xdr:rowOff>
              </xdr:to>
            </anchor>
          </commentPr>
        </mc:Choice>
        <mc:Fallback/>
      </mc:AlternateContent>
    </comment>
    <comment ref="H57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55</xdr:row>
                <xdr:rowOff>8</xdr:rowOff>
              </xdr:from>
              <xdr:to>
                <xdr:col>9</xdr:col>
                <xdr:colOff>72</xdr:colOff>
                <xdr:row>57</xdr:row>
                <xdr:rowOff>8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35</xdr:row>
                <xdr:rowOff>15</xdr:rowOff>
              </xdr:from>
              <xdr:to>
                <xdr:col>10</xdr:col>
                <xdr:colOff>22</xdr:colOff>
                <xdr:row>63</xdr:row>
                <xdr:rowOff>2</xdr:rowOff>
              </xdr:to>
            </anchor>
          </commentPr>
        </mc:Choice>
        <mc:Fallback/>
      </mc:AlternateContent>
    </comment>
    <comment ref="R35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23</xdr:colOff>
                <xdr:row>33</xdr:row>
                <xdr:rowOff>7</xdr:rowOff>
              </xdr:from>
              <xdr:to>
                <xdr:col>19</xdr:col>
                <xdr:colOff>4</xdr:colOff>
                <xdr:row>57</xdr:row>
                <xdr:rowOff>13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12</xdr:row>
                <xdr:rowOff>1</xdr:rowOff>
              </xdr:from>
              <xdr:to>
                <xdr:col>1</xdr:col>
                <xdr:colOff>39</xdr:colOff>
                <xdr:row>16</xdr:row>
                <xdr:rowOff>8</xdr:rowOff>
              </xdr:to>
            </anchor>
          </commentPr>
        </mc:Choice>
        <mc:Fallback/>
      </mc:AlternateContent>
    </comment>
    <comment ref="A19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Interest income on "Note Receivable to Enron Cop." Was $23.1 mil for 2000.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17</xdr:row>
                <xdr:rowOff>7</xdr:rowOff>
              </xdr:from>
              <xdr:to>
                <xdr:col>2</xdr:col>
                <xdr:colOff>34</xdr:colOff>
                <xdr:row>21</xdr:row>
                <xdr:rowOff>12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20</xdr:row>
                <xdr:rowOff>1</xdr:rowOff>
              </xdr:from>
              <xdr:to>
                <xdr:col>1</xdr:col>
                <xdr:colOff>9</xdr:colOff>
                <xdr:row>25</xdr:row>
                <xdr:rowOff>6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29</xdr:row>
                <xdr:rowOff>5</xdr:rowOff>
              </xdr:from>
              <xdr:to>
                <xdr:col>1</xdr:col>
                <xdr:colOff>9</xdr:colOff>
                <xdr:row>33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33</xdr:row>
                <xdr:rowOff>4</xdr:rowOff>
              </xdr:from>
              <xdr:to>
                <xdr:col>1</xdr:col>
                <xdr:colOff>83</xdr:colOff>
                <xdr:row>38</xdr:row>
                <xdr:rowOff>2</xdr:rowOff>
              </xdr:to>
            </anchor>
          </commentPr>
        </mc:Choice>
        <mc:Fallback/>
      </mc:AlternateContent>
    </comment>
    <comment ref="A103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Zeroed out since this is cash management program with Enron 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133</xdr:row>
                <xdr:rowOff>8</xdr:rowOff>
              </xdr:from>
              <xdr:to>
                <xdr:col>2</xdr:col>
                <xdr:colOff>34</xdr:colOff>
                <xdr:row>164</xdr:row>
                <xdr:rowOff>13</xdr:rowOff>
              </xdr:to>
            </anchor>
          </commentPr>
        </mc:Choice>
        <mc:Fallback/>
      </mc:AlternateContent>
    </comment>
    <comment ref="A130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Using different rates between existing and new assets.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128</xdr:row>
                <xdr:rowOff>7</xdr:rowOff>
              </xdr:from>
              <xdr:to>
                <xdr:col>2</xdr:col>
                <xdr:colOff>34</xdr:colOff>
                <xdr:row>132</xdr:row>
                <xdr:rowOff>12</xdr:rowOff>
              </xdr:to>
            </anchor>
          </commentPr>
        </mc:Choice>
        <mc:Fallback/>
      </mc:AlternateContent>
    </comment>
    <comment ref="C125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173</xdr:row>
                <xdr:rowOff>12</xdr:rowOff>
              </xdr:from>
              <xdr:to>
                <xdr:col>3</xdr:col>
                <xdr:colOff>59</xdr:colOff>
                <xdr:row>180</xdr:row>
                <xdr:rowOff>14</xdr:rowOff>
              </xdr:to>
            </anchor>
          </commentPr>
        </mc:Choice>
        <mc:Fallback/>
      </mc:AlternateContent>
    </comment>
    <comment ref="C134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Scaler to adjust book depreciation to tax depreciation.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192</xdr:row>
                <xdr:rowOff>1</xdr:rowOff>
              </xdr:from>
              <xdr:to>
                <xdr:col>4</xdr:col>
                <xdr:colOff>48</xdr:colOff>
                <xdr:row>196</xdr:row>
                <xdr:rowOff>7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108</xdr:colOff>
                <xdr:row>37</xdr:row>
                <xdr:rowOff>2</xdr:rowOff>
              </xdr:from>
              <xdr:to>
                <xdr:col>8</xdr:col>
                <xdr:colOff>51</xdr:colOff>
                <xdr:row>39</xdr:row>
                <xdr:rowOff>7</xdr:rowOff>
              </xdr:to>
            </anchor>
          </commentPr>
        </mc:Choice>
        <mc:Fallback/>
      </mc:AlternateContent>
    </comment>
    <comment ref="I43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108</xdr:colOff>
                <xdr:row>40</xdr:row>
                <xdr:rowOff>2</xdr:rowOff>
              </xdr:from>
              <xdr:to>
                <xdr:col>9</xdr:col>
                <xdr:colOff>2</xdr:colOff>
                <xdr:row>49</xdr:row>
                <xdr:rowOff>3</xdr:rowOff>
              </xdr:to>
            </anchor>
          </commentPr>
        </mc:Choice>
        <mc:Fallback/>
      </mc:AlternateContent>
    </comment>
    <comment ref="M41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65</xdr:colOff>
                <xdr:row>39</xdr:row>
                <xdr:rowOff>1</xdr:rowOff>
              </xdr:from>
              <xdr:to>
                <xdr:col>16</xdr:col>
                <xdr:colOff>33</xdr:colOff>
                <xdr:row>43</xdr:row>
                <xdr:rowOff>6</xdr:rowOff>
              </xdr:to>
            </anchor>
          </commentPr>
        </mc:Choice>
        <mc:Fallback/>
      </mc:AlternateContent>
    </comment>
    <comment ref="S35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111</xdr:colOff>
                <xdr:row>32</xdr:row>
                <xdr:rowOff>8</xdr:rowOff>
              </xdr:from>
              <xdr:to>
                <xdr:col>16</xdr:col>
                <xdr:colOff>59</xdr:colOff>
                <xdr:row>37</xdr:row>
                <xdr:rowOff>7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7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30</xdr:row>
                <xdr:rowOff>16</xdr:rowOff>
              </xdr:from>
              <xdr:to>
                <xdr:col>1</xdr:col>
                <xdr:colOff>28</xdr:colOff>
                <xdr:row>37</xdr:row>
                <xdr:rowOff>9</xdr:rowOff>
              </xdr:to>
            </anchor>
          </commentPr>
        </mc:Choice>
        <mc:Fallback/>
      </mc:AlternateContent>
    </comment>
    <comment ref="B136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54</xdr:colOff>
                <xdr:row>138</xdr:row>
                <xdr:rowOff>16</xdr:rowOff>
              </xdr:from>
              <xdr:to>
                <xdr:col>1</xdr:col>
                <xdr:colOff>-44</xdr:colOff>
                <xdr:row>143</xdr:row>
                <xdr:rowOff>14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Annualized 2Q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6</xdr:row>
                <xdr:rowOff>4</xdr:rowOff>
              </xdr:from>
              <xdr:to>
                <xdr:col>8</xdr:col>
                <xdr:colOff>79</xdr:colOff>
                <xdr:row>10</xdr:row>
                <xdr:rowOff>9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2nd Quarter Info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6</xdr:row>
                <xdr:rowOff>7</xdr:rowOff>
              </xdr:from>
              <xdr:to>
                <xdr:col>6</xdr:col>
                <xdr:colOff>30</xdr:colOff>
                <xdr:row>10</xdr:row>
                <xdr:rowOff>12</xdr:rowOff>
              </xdr:to>
            </anchor>
          </commentPr>
        </mc:Choice>
        <mc:Fallback/>
      </mc:AlternateContent>
    </comment>
    <comment ref="G81" authorId="0">
      <text>
        <r>
          <rPr>
            <b val="true"/>
            <sz val="8"/>
            <color rgb="FF000000"/>
            <rFont val="Tahoma"/>
            <family val="0"/>
          </rPr>
          <t xml:space="preserve">GC:
2nd Quarter Info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58</xdr:row>
                <xdr:rowOff>13</xdr:rowOff>
              </xdr:from>
              <xdr:to>
                <xdr:col>8</xdr:col>
                <xdr:colOff>53</xdr:colOff>
                <xdr:row>63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From 10-K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7</xdr:rowOff>
              </xdr:from>
              <xdr:to>
                <xdr:col>8</xdr:col>
                <xdr:colOff>4</xdr:colOff>
                <xdr:row>28</xdr:row>
                <xdr:rowOff>12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From Citrus 10-K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26</xdr:row>
                <xdr:rowOff>7</xdr:rowOff>
              </xdr:from>
              <xdr:to>
                <xdr:col>8</xdr:col>
                <xdr:colOff>4</xdr:colOff>
                <xdr:row>42</xdr:row>
                <xdr:rowOff>15</xdr:rowOff>
              </xdr:to>
            </anchor>
          </commentPr>
        </mc:Choice>
        <mc:Fallback/>
      </mc:AlternateContent>
    </commen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From 10-K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28</xdr:row>
                <xdr:rowOff>7</xdr:rowOff>
              </xdr:from>
              <xdr:to>
                <xdr:col>8</xdr:col>
                <xdr:colOff>4</xdr:colOff>
                <xdr:row>42</xdr:row>
                <xdr:rowOff>32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From 2000 F/S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85</xdr:colOff>
                <xdr:row>3</xdr:row>
                <xdr:rowOff>12</xdr:rowOff>
              </xdr:from>
              <xdr:to>
                <xdr:col>4</xdr:col>
                <xdr:colOff>56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15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171</xdr:row>
                <xdr:rowOff>4</xdr:rowOff>
              </xdr:from>
              <xdr:to>
                <xdr:col>14</xdr:col>
                <xdr:colOff>102</xdr:colOff>
                <xdr:row>172</xdr:row>
                <xdr:rowOff>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12</xdr:row>
                <xdr:rowOff>1</xdr:rowOff>
              </xdr:from>
              <xdr:to>
                <xdr:col>1</xdr:col>
                <xdr:colOff>39</xdr:colOff>
                <xdr:row>16</xdr:row>
                <xdr:rowOff>8</xdr:rowOff>
              </xdr:to>
            </anchor>
          </commentPr>
        </mc:Choice>
        <mc:Fallback/>
      </mc:AlternateContent>
    </comment>
    <comment ref="A19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Interest income on "Note Receivable to Enron Cop." Was $23.1 mil for 2000.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17</xdr:row>
                <xdr:rowOff>7</xdr:rowOff>
              </xdr:from>
              <xdr:to>
                <xdr:col>2</xdr:col>
                <xdr:colOff>34</xdr:colOff>
                <xdr:row>21</xdr:row>
                <xdr:rowOff>12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20</xdr:row>
                <xdr:rowOff>1</xdr:rowOff>
              </xdr:from>
              <xdr:to>
                <xdr:col>1</xdr:col>
                <xdr:colOff>9</xdr:colOff>
                <xdr:row>25</xdr:row>
                <xdr:rowOff>6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29</xdr:row>
                <xdr:rowOff>5</xdr:rowOff>
              </xdr:from>
              <xdr:to>
                <xdr:col>1</xdr:col>
                <xdr:colOff>9</xdr:colOff>
                <xdr:row>33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33</xdr:row>
                <xdr:rowOff>4</xdr:rowOff>
              </xdr:from>
              <xdr:to>
                <xdr:col>1</xdr:col>
                <xdr:colOff>83</xdr:colOff>
                <xdr:row>38</xdr:row>
                <xdr:rowOff>2</xdr:rowOff>
              </xdr:to>
            </anchor>
          </commentPr>
        </mc:Choice>
        <mc:Fallback/>
      </mc:AlternateContent>
    </comment>
    <comment ref="A103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Zeroed out since this is cash management program with Enron 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133</xdr:row>
                <xdr:rowOff>8</xdr:rowOff>
              </xdr:from>
              <xdr:to>
                <xdr:col>2</xdr:col>
                <xdr:colOff>34</xdr:colOff>
                <xdr:row>164</xdr:row>
                <xdr:rowOff>13</xdr:rowOff>
              </xdr:to>
            </anchor>
          </commentPr>
        </mc:Choice>
        <mc:Fallback/>
      </mc:AlternateContent>
    </comment>
    <comment ref="A130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Using different rates between existing and new assets.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128</xdr:row>
                <xdr:rowOff>7</xdr:rowOff>
              </xdr:from>
              <xdr:to>
                <xdr:col>2</xdr:col>
                <xdr:colOff>34</xdr:colOff>
                <xdr:row>132</xdr:row>
                <xdr:rowOff>12</xdr:rowOff>
              </xdr:to>
            </anchor>
          </commentPr>
        </mc:Choice>
        <mc:Fallback/>
      </mc:AlternateContent>
    </comment>
    <comment ref="C125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173</xdr:row>
                <xdr:rowOff>12</xdr:rowOff>
              </xdr:from>
              <xdr:to>
                <xdr:col>3</xdr:col>
                <xdr:colOff>59</xdr:colOff>
                <xdr:row>180</xdr:row>
                <xdr:rowOff>14</xdr:rowOff>
              </xdr:to>
            </anchor>
          </commentPr>
        </mc:Choice>
        <mc:Fallback/>
      </mc:AlternateContent>
    </comment>
    <comment ref="C134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Scaler to adjust book depreciation to tax depreciation.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192</xdr:row>
                <xdr:rowOff>1</xdr:rowOff>
              </xdr:from>
              <xdr:to>
                <xdr:col>4</xdr:col>
                <xdr:colOff>48</xdr:colOff>
                <xdr:row>196</xdr:row>
                <xdr:rowOff>7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Projection based on 2000 Interest Income. Assumed that Corp will keep the balance at similar level.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117</xdr:colOff>
                <xdr:row>17</xdr:row>
                <xdr:rowOff>7</xdr:rowOff>
              </xdr:from>
              <xdr:to>
                <xdr:col>9</xdr:col>
                <xdr:colOff>32</xdr:colOff>
                <xdr:row>22</xdr:row>
                <xdr:rowOff>11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108</xdr:colOff>
                <xdr:row>37</xdr:row>
                <xdr:rowOff>2</xdr:rowOff>
              </xdr:from>
              <xdr:to>
                <xdr:col>8</xdr:col>
                <xdr:colOff>51</xdr:colOff>
                <xdr:row>39</xdr:row>
                <xdr:rowOff>7</xdr:rowOff>
              </xdr:to>
            </anchor>
          </commentPr>
        </mc:Choice>
        <mc:Fallback/>
      </mc:AlternateContent>
    </comment>
    <comment ref="I43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108</xdr:colOff>
                <xdr:row>40</xdr:row>
                <xdr:rowOff>2</xdr:rowOff>
              </xdr:from>
              <xdr:to>
                <xdr:col>9</xdr:col>
                <xdr:colOff>1</xdr:colOff>
                <xdr:row>49</xdr:row>
                <xdr:rowOff>3</xdr:rowOff>
              </xdr:to>
            </anchor>
          </commentPr>
        </mc:Choice>
        <mc:Fallback/>
      </mc:AlternateContent>
    </comment>
    <comment ref="M41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60</xdr:colOff>
                <xdr:row>39</xdr:row>
                <xdr:rowOff>1</xdr:rowOff>
              </xdr:from>
              <xdr:to>
                <xdr:col>16</xdr:col>
                <xdr:colOff>28</xdr:colOff>
                <xdr:row>43</xdr:row>
                <xdr:rowOff>6</xdr:rowOff>
              </xdr:to>
            </anchor>
          </commentPr>
        </mc:Choice>
        <mc:Fallback/>
      </mc:AlternateContent>
    </comment>
    <comment ref="S35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106</xdr:colOff>
                <xdr:row>32</xdr:row>
                <xdr:rowOff>8</xdr:rowOff>
              </xdr:from>
              <xdr:to>
                <xdr:col>16</xdr:col>
                <xdr:colOff>54</xdr:colOff>
                <xdr:row>37</xdr:row>
                <xdr:rowOff>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12</xdr:row>
                <xdr:rowOff>1</xdr:rowOff>
              </xdr:from>
              <xdr:to>
                <xdr:col>1</xdr:col>
                <xdr:colOff>39</xdr:colOff>
                <xdr:row>16</xdr:row>
                <xdr:rowOff>8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20</xdr:row>
                <xdr:rowOff>1</xdr:rowOff>
              </xdr:from>
              <xdr:to>
                <xdr:col>1</xdr:col>
                <xdr:colOff>9</xdr:colOff>
                <xdr:row>25</xdr:row>
                <xdr:rowOff>6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29</xdr:row>
                <xdr:rowOff>5</xdr:rowOff>
              </xdr:from>
              <xdr:to>
                <xdr:col>1</xdr:col>
                <xdr:colOff>9</xdr:colOff>
                <xdr:row>33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33</xdr:row>
                <xdr:rowOff>4</xdr:rowOff>
              </xdr:from>
              <xdr:to>
                <xdr:col>1</xdr:col>
                <xdr:colOff>83</xdr:colOff>
                <xdr:row>38</xdr:row>
                <xdr:rowOff>2</xdr:rowOff>
              </xdr:to>
            </anchor>
          </commentPr>
        </mc:Choice>
        <mc:Fallback/>
      </mc:AlternateContent>
    </comment>
    <comment ref="A103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Zeroed out since this is cash management program with Enron 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133</xdr:row>
                <xdr:rowOff>8</xdr:rowOff>
              </xdr:from>
              <xdr:to>
                <xdr:col>2</xdr:col>
                <xdr:colOff>34</xdr:colOff>
                <xdr:row>164</xdr:row>
                <xdr:rowOff>13</xdr:rowOff>
              </xdr:to>
            </anchor>
          </commentPr>
        </mc:Choice>
        <mc:Fallback/>
      </mc:AlternateContent>
    </comment>
    <comment ref="C125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173</xdr:row>
                <xdr:rowOff>12</xdr:rowOff>
              </xdr:from>
              <xdr:to>
                <xdr:col>3</xdr:col>
                <xdr:colOff>59</xdr:colOff>
                <xdr:row>180</xdr:row>
                <xdr:rowOff>14</xdr:rowOff>
              </xdr:to>
            </anchor>
          </commentPr>
        </mc:Choice>
        <mc:Fallback/>
      </mc:AlternateContent>
    </comment>
    <comment ref="C134" authorId="0">
      <text>
        <r>
          <rPr>
            <b val="true"/>
            <sz val="8"/>
            <color rgb="FF000000"/>
            <rFont val="Tahoma"/>
            <family val="0"/>
          </rPr>
          <t xml:space="preserve">jlee7:
</t>
        </r>
        <r>
          <rPr>
            <sz val="8"/>
            <color rgb="FF000000"/>
            <rFont val="Tahoma"/>
            <family val="0"/>
          </rPr>
          <t xml:space="preserve">Scaler to adjust book depreciation to tax depreciation.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192</xdr:row>
                <xdr:rowOff>1</xdr:rowOff>
              </xdr:from>
              <xdr:to>
                <xdr:col>4</xdr:col>
                <xdr:colOff>55</xdr:colOff>
                <xdr:row>196</xdr:row>
                <xdr:rowOff>7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38</xdr:row>
                <xdr:rowOff>8</xdr:rowOff>
              </xdr:from>
              <xdr:to>
                <xdr:col>10</xdr:col>
                <xdr:colOff>70</xdr:colOff>
                <xdr:row>40</xdr:row>
                <xdr:rowOff>9</xdr:rowOff>
              </xdr:to>
            </anchor>
          </commentPr>
        </mc:Choice>
        <mc:Fallback/>
      </mc:AlternateContent>
    </comment>
    <comment ref="I43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</xdr:colOff>
                <xdr:row>40</xdr:row>
                <xdr:rowOff>2</xdr:rowOff>
              </xdr:from>
              <xdr:to>
                <xdr:col>9</xdr:col>
                <xdr:colOff>14</xdr:colOff>
                <xdr:row>49</xdr:row>
                <xdr:rowOff>3</xdr:rowOff>
              </xdr:to>
            </anchor>
          </commentPr>
        </mc:Choice>
        <mc:Fallback/>
      </mc:AlternateContent>
    </comment>
    <comment ref="M41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39</xdr:row>
                <xdr:rowOff>10</xdr:rowOff>
              </xdr:from>
              <xdr:to>
                <xdr:col>12</xdr:col>
                <xdr:colOff>93</xdr:colOff>
                <xdr:row>43</xdr:row>
                <xdr:rowOff>15</xdr:rowOff>
              </xdr:to>
            </anchor>
          </commentPr>
        </mc:Choice>
        <mc:Fallback/>
      </mc:AlternateContent>
    </comment>
    <comment ref="S35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109</xdr:colOff>
                <xdr:row>32</xdr:row>
                <xdr:rowOff>8</xdr:rowOff>
              </xdr:from>
              <xdr:to>
                <xdr:col>16</xdr:col>
                <xdr:colOff>59</xdr:colOff>
                <xdr:row>37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<sst xmlns="http://schemas.openxmlformats.org/spreadsheetml/2006/main" count="1259" uniqueCount="562">
  <si>
    <t xml:space="preserve">Date:</t>
  </si>
  <si>
    <t xml:space="preserve">Feb.08,2001</t>
  </si>
  <si>
    <t xml:space="preserve">Asset Valuation Model -  </t>
  </si>
  <si>
    <t xml:space="preserve">Developed by </t>
  </si>
  <si>
    <t xml:space="preserve">Michael Ratner</t>
  </si>
  <si>
    <t xml:space="preserve">Ext.58927</t>
  </si>
  <si>
    <t xml:space="preserve">Modified by </t>
  </si>
  <si>
    <t xml:space="preserve">Yuan Tian</t>
  </si>
  <si>
    <t xml:space="preserve">Ext.53579</t>
  </si>
  <si>
    <t xml:space="preserve">Explaination about this model</t>
  </si>
  <si>
    <t xml:space="preserve">Assumptions</t>
  </si>
  <si>
    <t xml:space="preserve">Before the valuation, please determine what will be the main variables that impact the cash flow. Based on historical data</t>
  </si>
  <si>
    <t xml:space="preserve">and specific market research, hard input the values for these variables on the "Assumptions" sheet.  These variables</t>
  </si>
  <si>
    <t xml:space="preserve">might be furthur tested in Sensitivity Analysis by using "Data"- "Table" function in Excel and Risk Analysis by using Crystal Ball.</t>
  </si>
  <si>
    <t xml:space="preserve">Format</t>
  </si>
  <si>
    <t xml:space="preserve">a.</t>
  </si>
  <si>
    <t xml:space="preserve">The assumption cells are in yellow background</t>
  </si>
  <si>
    <t xml:space="preserve">b.</t>
  </si>
  <si>
    <t xml:space="preserve">The forecast cells are in green background</t>
  </si>
  <si>
    <t xml:space="preserve">c.</t>
  </si>
  <si>
    <t xml:space="preserve">The historical data are in gray background</t>
  </si>
  <si>
    <t xml:space="preserve">Unlevered cash flow analysis</t>
  </si>
  <si>
    <t xml:space="preserve">The unlevered cash flow analysis mainly values the assets based on their business risks.  It does not consider the financial </t>
  </si>
  <si>
    <t xml:space="preserve">risks from the financial leverage.  </t>
  </si>
  <si>
    <t xml:space="preserve">If there is more than one asset, input the different asset data in the separate "Asset" sheets, and the "Unlev. Consolid" sheet will</t>
  </si>
  <si>
    <t xml:space="preserve">automatically consolidate the valuation for the whole package of the assets.</t>
  </si>
  <si>
    <t xml:space="preserve">Please pay attention to the "Warning Flag" on these separate "Asset" sheets and the "unlev. Consolid" sheet  </t>
  </si>
  <si>
    <t xml:space="preserve">so that the model gives valid and accurate forecast. </t>
  </si>
  <si>
    <t xml:space="preserve">Levered cash flow analysis</t>
  </si>
  <si>
    <t xml:space="preserve">The levered cash flow analysis considers the costs ( e.g. interest expenses) and benefits ( e.g. tax benefits) from</t>
  </si>
  <si>
    <t xml:space="preserve">financial leverage. </t>
  </si>
  <si>
    <t xml:space="preserve">In this model, it is important that the target capital structure is constant over the life of the assets. For example, if the financial</t>
  </si>
  <si>
    <t xml:space="preserve">leverage rate is 50% of debt financing, the 50% debt financing rate must be maintained over the lift of the </t>
  </si>
  <si>
    <t xml:space="preserve">assets.  To maintain a constant capital structure, the following relationships must be satisfied in the "Lev. Consolid" sheet:</t>
  </si>
  <si>
    <t xml:space="preserve">Pre-Current Debt = Beg. Yr. Debt- Debt Retirement</t>
  </si>
  <si>
    <t xml:space="preserve">Pre-Current Equity = Beg. Yr. Equity + Adj. Net Income - Net Cash Flow</t>
  </si>
  <si>
    <t xml:space="preserve">Pre - Total Capital = Pre-Current Debt + Pre- Current Equity</t>
  </si>
  <si>
    <t xml:space="preserve">End. Yr Debt = Leverage rate* Pre-Total Capital</t>
  </si>
  <si>
    <t xml:space="preserve">End. Yr Equity= (1-Leverage rate) * Pre-Total Capital</t>
  </si>
  <si>
    <t xml:space="preserve">Debt Retirement = End.Yr.Debt- Beg. Yr Debt</t>
  </si>
  <si>
    <t xml:space="preserve">Net Cash Flow = Beg. Yr. Equity -End. Yr.Equity +Adj. Net Income</t>
  </si>
  <si>
    <t xml:space="preserve">(please see the above terms in the "Lev.Consolid"sheet)</t>
  </si>
  <si>
    <t xml:space="preserve">As shown on the above formula, there exits circular relationships between these data. Therefore, a circular reference is intentionally</t>
  </si>
  <si>
    <t xml:space="preserve">created in this model.  When opening the Excel, please go to "Tools"-"Options", Click on "Calculation"tab and check "Iteration" box.</t>
  </si>
  <si>
    <t xml:space="preserve">Primary Pipeline Asset</t>
  </si>
  <si>
    <t xml:space="preserve">Northern Natural</t>
  </si>
  <si>
    <t xml:space="preserve">Transwestern</t>
  </si>
  <si>
    <t xml:space="preserve">Northern Boder Partners</t>
  </si>
  <si>
    <t xml:space="preserve">Citrus</t>
  </si>
  <si>
    <t xml:space="preserve">Asset Divisions</t>
  </si>
  <si>
    <t xml:space="preserve">Warning Flag:</t>
  </si>
  <si>
    <t xml:space="preserve">Summary</t>
  </si>
  <si>
    <t xml:space="preserve">Unlevered Cash Flow Analysis</t>
  </si>
  <si>
    <t xml:space="preserve">Discounted@</t>
  </si>
  <si>
    <t xml:space="preserve">NPV</t>
  </si>
  <si>
    <t xml:space="preserve">IRR</t>
  </si>
  <si>
    <t xml:space="preserve">Levered Cash Flow Analyais</t>
  </si>
  <si>
    <t xml:space="preserve">Debt Financing @</t>
  </si>
  <si>
    <t xml:space="preserve">Equity NPV</t>
  </si>
  <si>
    <t xml:space="preserve">Levered IRR</t>
  </si>
  <si>
    <t xml:space="preserve">Project Assumptions</t>
  </si>
  <si>
    <t xml:space="preserve">MODEL ASSUMPTIONS</t>
  </si>
  <si>
    <t xml:space="preserve">Name of project:</t>
  </si>
  <si>
    <t xml:space="preserve">ETS</t>
  </si>
  <si>
    <t xml:space="preserve">Potential Buyer</t>
  </si>
  <si>
    <t xml:space="preserve">Year of Equity Sale</t>
  </si>
  <si>
    <t xml:space="preserve">Length of Contract (yrs.)</t>
  </si>
  <si>
    <t xml:space="preserve">Corporate Income Tax</t>
  </si>
  <si>
    <t xml:space="preserve">Taxes on Gain from Equity Sale</t>
  </si>
  <si>
    <t xml:space="preserve">Consolidated NPV Core Rate</t>
  </si>
  <si>
    <t xml:space="preserve">Project Premium</t>
  </si>
  <si>
    <t xml:space="preserve">DEBT</t>
  </si>
  <si>
    <t xml:space="preserve">Financial Leverage Rate</t>
  </si>
  <si>
    <t xml:space="preserve">Interest Rate</t>
  </si>
  <si>
    <t xml:space="preserve">Retirement (Years)</t>
  </si>
  <si>
    <t xml:space="preserve">ASSET ASSUMPTIONS</t>
  </si>
  <si>
    <t xml:space="preserve">Include in Valuation (1=Yes, 0=No)</t>
  </si>
  <si>
    <t xml:space="preserve">Enron Ownership %</t>
  </si>
  <si>
    <t xml:space="preserve">Salvage Multiple (x EBITDA)</t>
  </si>
  <si>
    <t xml:space="preserve">NPV Core Rate</t>
  </si>
  <si>
    <t xml:space="preserve">Book Depreciation Rate</t>
  </si>
  <si>
    <t xml:space="preserve">Macros</t>
  </si>
  <si>
    <t xml:space="preserve">Unit Price</t>
  </si>
  <si>
    <t xml:space="preserve">Trailblazer</t>
  </si>
  <si>
    <t xml:space="preserve">Revenue Scenario Assumption- Scenario Discription</t>
  </si>
  <si>
    <t xml:space="preserve">Asset 1</t>
  </si>
  <si>
    <t xml:space="preserve">1. Base Case</t>
  </si>
  <si>
    <t xml:space="preserve">2. Optimistic</t>
  </si>
  <si>
    <t xml:space="preserve">10% increase</t>
  </si>
  <si>
    <t xml:space="preserve">3. Pessimistic</t>
  </si>
  <si>
    <t xml:space="preserve">10% decrease</t>
  </si>
  <si>
    <t xml:space="preserve">Expense Scenario  Assumption - Scenario Discription</t>
  </si>
  <si>
    <t xml:space="preserve">Debt Break Down</t>
  </si>
  <si>
    <t xml:space="preserve">% of Total Capitalization </t>
  </si>
  <si>
    <t xml:space="preserve">Term</t>
  </si>
  <si>
    <t xml:space="preserve">Early Pre-Payment</t>
  </si>
  <si>
    <t xml:space="preserve">Amortization Method **</t>
  </si>
  <si>
    <t xml:space="preserve">% Amortized*</t>
  </si>
  <si>
    <t xml:space="preserve">SeniorTranche A (US$)</t>
  </si>
  <si>
    <t xml:space="preserve">Senior Tranche B (US$)</t>
  </si>
  <si>
    <t xml:space="preserve">     Junior Debt ($US)</t>
  </si>
  <si>
    <t xml:space="preserve">Revolver</t>
  </si>
  <si>
    <t xml:space="preserve">N/A</t>
  </si>
  <si>
    <t xml:space="preserve">Debt Cash Sweep</t>
  </si>
  <si>
    <t xml:space="preserve">Dividend Pay-out Ratio</t>
  </si>
  <si>
    <t xml:space="preserve">**METHOD - 1=No Amortization, 2=Partial  Amortization, 3=Mortgage</t>
  </si>
  <si>
    <t xml:space="preserve">Valuation and Sell-down Summary</t>
  </si>
  <si>
    <t xml:space="preserve">DCF VALUATION</t>
  </si>
  <si>
    <t xml:space="preserve">Enterprise Value         @ 7.5%</t>
  </si>
  <si>
    <t xml:space="preserve">Debt</t>
  </si>
  <si>
    <t xml:space="preserve">Equity Valuation</t>
  </si>
  <si>
    <t xml:space="preserve">Enron Ownership</t>
  </si>
  <si>
    <t xml:space="preserve">Enron Equity Value</t>
  </si>
  <si>
    <t xml:space="preserve">Total</t>
  </si>
  <si>
    <t xml:space="preserve">EQUITY SELL-DOWN</t>
  </si>
  <si>
    <t xml:space="preserve">Equity Sale</t>
  </si>
  <si>
    <t xml:space="preserve">Sale Price</t>
  </si>
  <si>
    <t xml:space="preserve">After Sale Valuation</t>
  </si>
  <si>
    <t xml:space="preserve">Book Basis @ 8/31/01</t>
  </si>
  <si>
    <t xml:space="preserve">Tax Basis @12/31/00</t>
  </si>
  <si>
    <t xml:space="preserve">PreTax Realized Gain/Loss</t>
  </si>
  <si>
    <t xml:space="preserve">After Tax Gain/Loss</t>
  </si>
  <si>
    <t xml:space="preserve">Cash Taxes on Sale</t>
  </si>
  <si>
    <t xml:space="preserve">Receivable from Enron</t>
  </si>
  <si>
    <t xml:space="preserve">Net Cash Raised</t>
  </si>
  <si>
    <t xml:space="preserve">Deferred Taxes</t>
  </si>
  <si>
    <t xml:space="preserve">Required Equity Sell-down for ETS</t>
  </si>
  <si>
    <t xml:space="preserve">(=Sale Price/Enron Equity Value)</t>
  </si>
  <si>
    <t xml:space="preserve">Required Equity Sell-down at Hold Co. Level</t>
  </si>
  <si>
    <t xml:space="preserve">(=Sale Price/Total Equity Valuation)</t>
  </si>
  <si>
    <t xml:space="preserve">MULTIPLES VALUATION </t>
  </si>
  <si>
    <t xml:space="preserve">RATE BASE</t>
  </si>
  <si>
    <t xml:space="preserve">2001 Net Income</t>
  </si>
  <si>
    <t xml:space="preserve">YE 2000</t>
  </si>
  <si>
    <t xml:space="preserve">Consolidated</t>
  </si>
  <si>
    <t xml:space="preserve">NBP</t>
  </si>
  <si>
    <t xml:space="preserve">Multiple</t>
  </si>
  <si>
    <t xml:space="preserve">Plant In-Service</t>
  </si>
  <si>
    <t xml:space="preserve">Implied Valuation</t>
  </si>
  <si>
    <t xml:space="preserve">Accum. Dep.</t>
  </si>
  <si>
    <t xml:space="preserve">2001 EBITDA</t>
  </si>
  <si>
    <t xml:space="preserve">Def. Taxes</t>
  </si>
  <si>
    <t xml:space="preserve">Return</t>
  </si>
  <si>
    <t xml:space="preserve">DCF Valuation</t>
  </si>
  <si>
    <t xml:space="preserve">Net Income Proxy</t>
  </si>
  <si>
    <t xml:space="preserve">2000 Actual NI</t>
  </si>
  <si>
    <t xml:space="preserve">2000 Actual NI+Int(1-t)</t>
  </si>
  <si>
    <t xml:space="preserve">Sources</t>
  </si>
  <si>
    <t xml:space="preserve">US$</t>
  </si>
  <si>
    <t xml:space="preserve">Uses</t>
  </si>
  <si>
    <t xml:space="preserve">      Equity</t>
  </si>
  <si>
    <t xml:space="preserve">Acquire Assets</t>
  </si>
  <si>
    <t xml:space="preserve">      Debt</t>
  </si>
  <si>
    <t xml:space="preserve">Other Fees and Expenses </t>
  </si>
  <si>
    <t xml:space="preserve">Consolidated Unlevered Valuation</t>
  </si>
  <si>
    <t xml:space="preserve">INCOME STATEMENT ($000)</t>
  </si>
  <si>
    <t xml:space="preserve">Projected Fiscal Year Ending December 31,</t>
  </si>
  <si>
    <t xml:space="preserve">Year</t>
  </si>
  <si>
    <t xml:space="preserve">Revenues</t>
  </si>
  <si>
    <t xml:space="preserve">1=On, 0=Off</t>
  </si>
  <si>
    <t xml:space="preserve">TOTAL REVENUE</t>
  </si>
  <si>
    <t xml:space="preserve">Expenses</t>
  </si>
  <si>
    <t xml:space="preserve">TOTAL EXPENSES</t>
  </si>
  <si>
    <t xml:space="preserve">  Rev per Exp $</t>
  </si>
  <si>
    <t xml:space="preserve">TOTAL EBITDA</t>
  </si>
  <si>
    <t xml:space="preserve">   Operating Margin</t>
  </si>
  <si>
    <t xml:space="preserve">Int &amp; Other Income</t>
  </si>
  <si>
    <t xml:space="preserve">TOTAL INT &amp; OTH INCOME</t>
  </si>
  <si>
    <t xml:space="preserve">UNCONSOLIDATED INCOME</t>
  </si>
  <si>
    <t xml:space="preserve">TOTAL UNCONSOL. INCOME</t>
  </si>
  <si>
    <t xml:space="preserve">Depreciation &amp; Amortization</t>
  </si>
  <si>
    <t xml:space="preserve">TOTAL DEPRECIATION &amp; AMORTIZATION</t>
  </si>
  <si>
    <t xml:space="preserve">TOTAL EBIT</t>
  </si>
  <si>
    <t xml:space="preserve">Current Taxes</t>
  </si>
  <si>
    <t xml:space="preserve">TOTAL TAXES</t>
  </si>
  <si>
    <t xml:space="preserve">TOTAL NET INCOME</t>
  </si>
  <si>
    <t xml:space="preserve">TOTAL CASH FLOW FROM OPERATIONS</t>
  </si>
  <si>
    <t xml:space="preserve">EBITDA X</t>
  </si>
  <si>
    <t xml:space="preserve">TOTAL CAPEX</t>
  </si>
  <si>
    <t xml:space="preserve">TOTAL CASH FLOW</t>
  </si>
  <si>
    <t xml:space="preserve">IRR =</t>
  </si>
  <si>
    <t xml:space="preserve">Purchase</t>
  </si>
  <si>
    <t xml:space="preserve">Net Present Value</t>
  </si>
  <si>
    <t xml:space="preserve">Price</t>
  </si>
  <si>
    <t xml:space="preserve">Loop</t>
  </si>
  <si>
    <t xml:space="preserve">Equity Value</t>
  </si>
  <si>
    <t xml:space="preserve">Conslolidated Levered Pro Forma</t>
  </si>
  <si>
    <t xml:space="preserve">Valuations - Purchase Price</t>
  </si>
  <si>
    <t xml:space="preserve">Unlevered</t>
  </si>
  <si>
    <t xml:space="preserve">Premium</t>
  </si>
  <si>
    <t xml:space="preserve">Equity NPV Value</t>
  </si>
  <si>
    <t xml:space="preserve">Warning Flags:</t>
  </si>
  <si>
    <t xml:space="preserve">Template Asset</t>
  </si>
  <si>
    <t xml:space="preserve">Asset Price</t>
  </si>
  <si>
    <t xml:space="preserve">Debt Financed</t>
  </si>
  <si>
    <t xml:space="preserve">Equity Financed</t>
  </si>
  <si>
    <t xml:space="preserve">At equity sale</t>
  </si>
  <si>
    <t xml:space="preserve">EBITDA</t>
  </si>
  <si>
    <t xml:space="preserve">   Less DD&amp;A</t>
  </si>
  <si>
    <t xml:space="preserve">   Less/Add Other Income</t>
  </si>
  <si>
    <t xml:space="preserve">EBIT</t>
  </si>
  <si>
    <t xml:space="preserve">   Less Interest Expense</t>
  </si>
  <si>
    <t xml:space="preserve">Pre-Tax Income</t>
  </si>
  <si>
    <t xml:space="preserve">   Less Total Tax</t>
  </si>
  <si>
    <t xml:space="preserve">NET INCOME</t>
  </si>
  <si>
    <t xml:space="preserve">Enron Equity Net Income</t>
  </si>
  <si>
    <t xml:space="preserve">Lost Income Stream from Sale</t>
  </si>
  <si>
    <t xml:space="preserve">Deferred Tax</t>
  </si>
  <si>
    <t xml:space="preserve">Cash Flow from Operations</t>
  </si>
  <si>
    <t xml:space="preserve">CAPEX</t>
  </si>
  <si>
    <t xml:space="preserve">Debt Retirement</t>
  </si>
  <si>
    <t xml:space="preserve">Net Cash Flow</t>
  </si>
  <si>
    <t xml:space="preserve">Enron Equity Cash Flow</t>
  </si>
  <si>
    <t xml:space="preserve">Lost Cash Flow from Sale</t>
  </si>
  <si>
    <t xml:space="preserve">Financial Ratios</t>
  </si>
  <si>
    <t xml:space="preserve">EBITDA/Interest</t>
  </si>
  <si>
    <t xml:space="preserve">EBITDA/Interest + Debt Service</t>
  </si>
  <si>
    <t xml:space="preserve">Fixed Charge Coverage</t>
  </si>
  <si>
    <t xml:space="preserve">Discounted Cash Flow Analysis</t>
  </si>
  <si>
    <t xml:space="preserve">OPERATING EXPENSES</t>
  </si>
  <si>
    <t xml:space="preserve">Rev per Exp $</t>
  </si>
  <si>
    <t xml:space="preserve">Operating Margin</t>
  </si>
  <si>
    <t xml:space="preserve">INT &amp; OTHER INCOME</t>
  </si>
  <si>
    <t xml:space="preserve">DEPRECIATION &amp; AMORTIZATION</t>
  </si>
  <si>
    <t xml:space="preserve">TAXES</t>
  </si>
  <si>
    <t xml:space="preserve">X</t>
  </si>
  <si>
    <t xml:space="preserve">CASH FLOW FROM OPERATIONS</t>
  </si>
  <si>
    <t xml:space="preserve">Multiple of</t>
  </si>
  <si>
    <t xml:space="preserve">TOTAL CASH FLOW AVAILABLE TO INVESTORS</t>
  </si>
  <si>
    <t xml:space="preserve">Hard -Code </t>
  </si>
  <si>
    <t xml:space="preserve">Potential</t>
  </si>
  <si>
    <t xml:space="preserve">Buyer</t>
  </si>
  <si>
    <t xml:space="preserve">REVENUE PROJECTIONS ($000)</t>
  </si>
  <si>
    <t xml:space="preserve">Electric Utility</t>
  </si>
  <si>
    <t xml:space="preserve">Gas Utility</t>
  </si>
  <si>
    <t xml:space="preserve">Natual Gas Transmission</t>
  </si>
  <si>
    <t xml:space="preserve">Independent Power Production</t>
  </si>
  <si>
    <t xml:space="preserve">Oil &amp; Gas E&amp;P</t>
  </si>
  <si>
    <t xml:space="preserve">Gas and Liquids Sold</t>
  </si>
  <si>
    <t xml:space="preserve">International Energy Distribution</t>
  </si>
  <si>
    <t xml:space="preserve">Other</t>
  </si>
  <si>
    <t xml:space="preserve">Total Revenues</t>
  </si>
  <si>
    <t xml:space="preserve">GROWTH RATES</t>
  </si>
  <si>
    <t xml:space="preserve">Natural Gas Transmission</t>
  </si>
  <si>
    <t xml:space="preserve">Oil &amp; Gas Exploration and Production</t>
  </si>
  <si>
    <t xml:space="preserve">EXPENSE PROJECTIONS ($000)</t>
  </si>
  <si>
    <t xml:space="preserve">Fuel for Electric Generation</t>
  </si>
  <si>
    <t xml:space="preserve">Purchased Pwr: Mkt, Srvcs &amp; Trade</t>
  </si>
  <si>
    <t xml:space="preserve">Purchased and Interchange Power</t>
  </si>
  <si>
    <t xml:space="preserve">Purchased Power - Related Parties</t>
  </si>
  <si>
    <t xml:space="preserve">Cost of Sales</t>
  </si>
  <si>
    <t xml:space="preserve">Transmission/Compression &amp; Storage</t>
  </si>
  <si>
    <t xml:space="preserve">Operations and Maintenance</t>
  </si>
  <si>
    <t xml:space="preserve">Property and Other Taxes</t>
  </si>
  <si>
    <t xml:space="preserve">Total Expenses</t>
  </si>
  <si>
    <t xml:space="preserve">CAPITAL EXPENDITURE PROJECTIONS ($000'S)</t>
  </si>
  <si>
    <t xml:space="preserve">Consumers Electric Operations</t>
  </si>
  <si>
    <t xml:space="preserve">Consumers Gas Operations</t>
  </si>
  <si>
    <t xml:space="preserve">Additions to PPE</t>
  </si>
  <si>
    <t xml:space="preserve">Other Capital Expenditures</t>
  </si>
  <si>
    <t xml:space="preserve">Note Receivable from Parent Company</t>
  </si>
  <si>
    <t xml:space="preserve">Proceeds from Sale of Property</t>
  </si>
  <si>
    <t xml:space="preserve">Total CAPEX</t>
  </si>
  <si>
    <t xml:space="preserve">DEPRECIATION PROJECTIONS ($000'S)</t>
  </si>
  <si>
    <t xml:space="preserve">Book Depreciation</t>
  </si>
  <si>
    <t xml:space="preserve">  Existing PPE</t>
  </si>
  <si>
    <t xml:space="preserve">  Capital Expenditures</t>
  </si>
  <si>
    <t xml:space="preserve">Total Book Depreciation</t>
  </si>
  <si>
    <t xml:space="preserve">Tax Depreciation</t>
  </si>
  <si>
    <t xml:space="preserve">Total Tax Depreciation</t>
  </si>
  <si>
    <t xml:space="preserve">New Capex Depreciation Table</t>
  </si>
  <si>
    <t xml:space="preserve"> acqired assets</t>
  </si>
  <si>
    <t xml:space="preserve">Administrative and General</t>
  </si>
  <si>
    <t xml:space="preserve"> acquired assets</t>
  </si>
  <si>
    <t xml:space="preserve">Northern Border Partners</t>
  </si>
  <si>
    <t xml:space="preserve">REVENUES</t>
  </si>
  <si>
    <t xml:space="preserve">OPER. EXPENSES</t>
  </si>
  <si>
    <t xml:space="preserve">INTEREST &amp; OTHER INCOME</t>
  </si>
  <si>
    <t xml:space="preserve">DD&amp;A</t>
  </si>
  <si>
    <t xml:space="preserve">TOTAL</t>
  </si>
  <si>
    <t xml:space="preserve">CASH FLOW</t>
  </si>
  <si>
    <t xml:space="preserve">% Chng Factor</t>
  </si>
  <si>
    <t xml:space="preserve">Choose Case</t>
  </si>
  <si>
    <t xml:space="preserve">Discretionary Adjustment Factor</t>
  </si>
  <si>
    <t xml:space="preserve">EXPENSE PROJECTIONS</t>
  </si>
  <si>
    <t xml:space="preserve"> Growth Capital</t>
  </si>
  <si>
    <t xml:space="preserve"> Maintenance Capital</t>
  </si>
  <si>
    <t xml:space="preserve">DEPRECIATION</t>
  </si>
  <si>
    <t xml:space="preserve">INT &amp; OTHER DEDUCTIONS</t>
  </si>
  <si>
    <t xml:space="preserve">Incremental Earnings (All Equity)</t>
  </si>
  <si>
    <t xml:space="preserve">ENRON'S BASE EPS</t>
  </si>
  <si>
    <t xml:space="preserve">M Shares</t>
  </si>
  <si>
    <t xml:space="preserve">Growth of</t>
  </si>
  <si>
    <t xml:space="preserve">  Pro Forma Earnings (Inc. interest on Dividends)</t>
  </si>
  <si>
    <t xml:space="preserve">Equity Investment</t>
  </si>
  <si>
    <t xml:space="preserve">Price of ENE Shares</t>
  </si>
  <si>
    <t xml:space="preserve">Additional Shares</t>
  </si>
  <si>
    <t xml:space="preserve">PRO FORMA EPS</t>
  </si>
  <si>
    <t xml:space="preserve">  Incremenal EPS</t>
  </si>
  <si>
    <t xml:space="preserve">Incremental Earnings (60% Debt, 40% Equity)</t>
  </si>
  <si>
    <t xml:space="preserve">Include:</t>
  </si>
  <si>
    <t xml:space="preserve">1=Yes, 0=No</t>
  </si>
  <si>
    <t xml:space="preserve">Gas Transportation</t>
  </si>
  <si>
    <t xml:space="preserve">CITRUS</t>
  </si>
  <si>
    <t xml:space="preserve">O&amp;M</t>
  </si>
  <si>
    <t xml:space="preserve">TC&amp;S Expense</t>
  </si>
  <si>
    <t xml:space="preserve">Taxes Other Than Income</t>
  </si>
  <si>
    <t xml:space="preserve">Total Existing Pipeline</t>
  </si>
  <si>
    <t xml:space="preserve">Existing Citrus</t>
  </si>
  <si>
    <t xml:space="preserve">DEPRICIATION &amp; AMORTIZATION</t>
  </si>
  <si>
    <t xml:space="preserve">(Base Case Scenario)</t>
  </si>
  <si>
    <t xml:space="preserve">EBITDA Multiple</t>
  </si>
  <si>
    <t xml:space="preserve">Discount Rate</t>
  </si>
  <si>
    <t xml:space="preserve">Multiple and Discount Rate Analysis</t>
  </si>
  <si>
    <t xml:space="preserve">Purchase Price Scenarios (Equity Value)</t>
  </si>
  <si>
    <t xml:space="preserve">Discount</t>
  </si>
  <si>
    <t xml:space="preserve">Rate</t>
  </si>
  <si>
    <t xml:space="preserve">Multiple and Implied Perpetual Value</t>
  </si>
  <si>
    <t xml:space="preserve">Year 11 Implied Value</t>
  </si>
  <si>
    <t xml:space="preserve">Year 11 Free Cash Flow</t>
  </si>
  <si>
    <t xml:space="preserve">Discount Rate </t>
  </si>
  <si>
    <t xml:space="preserve">Implied Growth Rate</t>
  </si>
  <si>
    <t xml:space="preserve">Multiple and Implied Perpetual Value (ENE Required Rate of Return)</t>
  </si>
  <si>
    <t xml:space="preserve">Debt/Total Cap</t>
  </si>
  <si>
    <t xml:space="preserve">IRR with Leverage and Interest Rate Scenarios (Base Case Assumptions)</t>
  </si>
  <si>
    <t xml:space="preserve">Debt/Total Capitalization</t>
  </si>
  <si>
    <t xml:space="preserve">Cost of </t>
  </si>
  <si>
    <t xml:space="preserve"> </t>
  </si>
  <si>
    <t xml:space="preserve">Debt Schedule</t>
  </si>
  <si>
    <t xml:space="preserve">Debt Breakdown (US $000's)</t>
  </si>
  <si>
    <t xml:space="preserve">Beginning </t>
  </si>
  <si>
    <t xml:space="preserve">Amount of</t>
  </si>
  <si>
    <t xml:space="preserve">Interest</t>
  </si>
  <si>
    <t xml:space="preserve">Amort</t>
  </si>
  <si>
    <t xml:space="preserve">Balance</t>
  </si>
  <si>
    <t xml:space="preserve">Method</t>
  </si>
  <si>
    <t xml:space="preserve">% Amort</t>
  </si>
  <si>
    <t xml:space="preserve">Senior Tranche A (US$)</t>
  </si>
  <si>
    <t xml:space="preserve">Junior Debt (US$)</t>
  </si>
  <si>
    <t xml:space="preserve">Revolver/New Financing (US$)</t>
  </si>
  <si>
    <t xml:space="preserve">    Total Debt </t>
  </si>
  <si>
    <t xml:space="preserve">Beginning Balance</t>
  </si>
  <si>
    <t xml:space="preserve">Drawdown</t>
  </si>
  <si>
    <t xml:space="preserve">Repayment</t>
  </si>
  <si>
    <t xml:space="preserve">    Ending Balance</t>
  </si>
  <si>
    <t xml:space="preserve">    Interest Expense</t>
  </si>
  <si>
    <t xml:space="preserve">Principal Repayment</t>
  </si>
  <si>
    <t xml:space="preserve">Discretionary Principal Repayment</t>
  </si>
  <si>
    <t xml:space="preserve">Discretionary Principal Repayment Schedule</t>
  </si>
  <si>
    <t xml:space="preserve">Cash Flow Available for Repayment (includes Cash on the balance sheet)</t>
  </si>
  <si>
    <t xml:space="preserve">Scheduled Borrowing (Repayment)</t>
  </si>
  <si>
    <t xml:space="preserve">     Cash Flow Available for Additional Debt Paydown</t>
  </si>
  <si>
    <t xml:space="preserve">Principle Repayment Scenarios</t>
  </si>
  <si>
    <t xml:space="preserve">Option 1</t>
  </si>
  <si>
    <t xml:space="preserve">No Amortization</t>
  </si>
  <si>
    <t xml:space="preserve">Option 2</t>
  </si>
  <si>
    <t xml:space="preserve">Partial Amortization</t>
  </si>
  <si>
    <t xml:space="preserve">Year </t>
  </si>
  <si>
    <t xml:space="preserve">Beg Balance</t>
  </si>
  <si>
    <t xml:space="preserve">Prin Reduction</t>
  </si>
  <si>
    <t xml:space="preserve">End Balance</t>
  </si>
  <si>
    <t xml:space="preserve">Option 3</t>
  </si>
  <si>
    <t xml:space="preserve">Mortgage Style</t>
  </si>
  <si>
    <t xml:space="preserve">Payment</t>
  </si>
  <si>
    <t xml:space="preserve">Interest Payment</t>
  </si>
  <si>
    <t xml:space="preserve">Ending Balance</t>
  </si>
  <si>
    <t xml:space="preserve">Junior Debt</t>
  </si>
  <si>
    <t xml:space="preserve">Income Statement</t>
  </si>
  <si>
    <t xml:space="preserve">OPERATING REVENUE</t>
  </si>
  <si>
    <t xml:space="preserve">TOTAL OPERATING REVENUE</t>
  </si>
  <si>
    <t xml:space="preserve">TOTAL OPERATING EXPENSES</t>
  </si>
  <si>
    <t xml:space="preserve">DEPRECIATION AND AMORTIZATION</t>
  </si>
  <si>
    <t xml:space="preserve">OTHER INCOME</t>
  </si>
  <si>
    <t xml:space="preserve">Other Net Income </t>
  </si>
  <si>
    <t xml:space="preserve">Other Income 2</t>
  </si>
  <si>
    <t xml:space="preserve">Other Income 3</t>
  </si>
  <si>
    <t xml:space="preserve">TOTAL OTHER INCOME</t>
  </si>
  <si>
    <t xml:space="preserve">INTEREST EXPENSES</t>
  </si>
  <si>
    <t xml:space="preserve">Interest on Long Term Debt</t>
  </si>
  <si>
    <t xml:space="preserve">Other Interest</t>
  </si>
  <si>
    <t xml:space="preserve">Other Interest 3</t>
  </si>
  <si>
    <t xml:space="preserve">Other Interest 4</t>
  </si>
  <si>
    <t xml:space="preserve">TOTAL INTEREST EXPENSES</t>
  </si>
  <si>
    <t xml:space="preserve">NET INCOME BEFORE INCOME TAXES</t>
  </si>
  <si>
    <t xml:space="preserve">Income Taxes</t>
  </si>
  <si>
    <t xml:space="preserve">General Taxes</t>
  </si>
  <si>
    <t xml:space="preserve">Taxes 3</t>
  </si>
  <si>
    <t xml:space="preserve">Taxes 4</t>
  </si>
  <si>
    <t xml:space="preserve">OPERATING STATISTICS</t>
  </si>
  <si>
    <t xml:space="preserve">GROWTH</t>
  </si>
  <si>
    <t xml:space="preserve">Revenue Growth</t>
  </si>
  <si>
    <t xml:space="preserve">EBITDA Growth</t>
  </si>
  <si>
    <t xml:space="preserve">EBIT Growth</t>
  </si>
  <si>
    <t xml:space="preserve">MARGINS</t>
  </si>
  <si>
    <t xml:space="preserve">EBITDA Margin (%)</t>
  </si>
  <si>
    <t xml:space="preserve">EBIT Margin (%)</t>
  </si>
  <si>
    <t xml:space="preserve">Revenue per Expense</t>
  </si>
  <si>
    <t xml:space="preserve">Transportation &amp; Storage of NatGas</t>
  </si>
  <si>
    <t xml:space="preserve">LNG Terminalling Revenue</t>
  </si>
  <si>
    <t xml:space="preserve">Revenue 4</t>
  </si>
  <si>
    <t xml:space="preserve">Revenue 5</t>
  </si>
  <si>
    <t xml:space="preserve">Revenue 6</t>
  </si>
  <si>
    <t xml:space="preserve">Operation and Maintenance</t>
  </si>
  <si>
    <t xml:space="preserve">Expense 2</t>
  </si>
  <si>
    <t xml:space="preserve">Expense 3</t>
  </si>
  <si>
    <t xml:space="preserve">Expense 4</t>
  </si>
  <si>
    <t xml:space="preserve">Expense 5</t>
  </si>
  <si>
    <t xml:space="preserve">OTHER INCOME PROJECTIONS ($000'S)</t>
  </si>
  <si>
    <t xml:space="preserve">  Purchase Price</t>
  </si>
  <si>
    <t xml:space="preserve">TAX PROJECTIONS ($000'S)</t>
  </si>
  <si>
    <t xml:space="preserve">Balance Sheet</t>
  </si>
  <si>
    <t xml:space="preserve">BALANCE SHEET ($000)</t>
  </si>
  <si>
    <t xml:space="preserve"> Transaction Adjustments</t>
  </si>
  <si>
    <t xml:space="preserve">2001PF</t>
  </si>
  <si>
    <t xml:space="preserve">Additions</t>
  </si>
  <si>
    <t xml:space="preserve">Subtractions</t>
  </si>
  <si>
    <t xml:space="preserve">CURRENT ASSETS</t>
  </si>
  <si>
    <t xml:space="preserve">Cash and Equivalents</t>
  </si>
  <si>
    <t xml:space="preserve">Accounts Receivable</t>
  </si>
  <si>
    <t xml:space="preserve">Gas Imbalances - Receivable</t>
  </si>
  <si>
    <t xml:space="preserve">Inventory</t>
  </si>
  <si>
    <t xml:space="preserve">Deferred Income Taxes</t>
  </si>
  <si>
    <t xml:space="preserve">Note Receivables</t>
  </si>
  <si>
    <t xml:space="preserve">Other Current Assets</t>
  </si>
  <si>
    <t xml:space="preserve">Current Assets 8</t>
  </si>
  <si>
    <t xml:space="preserve">Current Assets 9</t>
  </si>
  <si>
    <t xml:space="preserve">Current Assets 10</t>
  </si>
  <si>
    <t xml:space="preserve">TOTAL CURRENT ASSETS </t>
  </si>
  <si>
    <t xml:space="preserve">NON-CURRENT ASSETS</t>
  </si>
  <si>
    <t xml:space="preserve">Property, Plant &amp; Equipment @ Cost</t>
  </si>
  <si>
    <t xml:space="preserve">Less Accumulated Depreciation &amp; Amortization</t>
  </si>
  <si>
    <t xml:space="preserve">Construction work-in-progress</t>
  </si>
  <si>
    <t xml:space="preserve">Net Property, Plant &amp; Equipment</t>
  </si>
  <si>
    <t xml:space="preserve">Intangible Assets</t>
  </si>
  <si>
    <t xml:space="preserve">Debt Issuance Cost</t>
  </si>
  <si>
    <t xml:space="preserve">Other Non-Current Assets</t>
  </si>
  <si>
    <t xml:space="preserve">Invesments</t>
  </si>
  <si>
    <t xml:space="preserve">Non-Current Assets 9</t>
  </si>
  <si>
    <t xml:space="preserve">Non-Current Assets 10</t>
  </si>
  <si>
    <t xml:space="preserve">TOTAL NON-CURRENT ASSETS</t>
  </si>
  <si>
    <t xml:space="preserve">TOTAL ASSETS</t>
  </si>
  <si>
    <t xml:space="preserve">CURRENT LIABILITIES</t>
  </si>
  <si>
    <t xml:space="preserve">Accounts Payable</t>
  </si>
  <si>
    <t xml:space="preserve">Gas Imbalances - Payable</t>
  </si>
  <si>
    <t xml:space="preserve">Accrued Taxes</t>
  </si>
  <si>
    <t xml:space="preserve">Accrued Interest</t>
  </si>
  <si>
    <t xml:space="preserve">Accrued Liabilities</t>
  </si>
  <si>
    <t xml:space="preserve">Other Current Liabilities</t>
  </si>
  <si>
    <t xml:space="preserve">Current Liabilities 7</t>
  </si>
  <si>
    <t xml:space="preserve">Current Liabilities 8</t>
  </si>
  <si>
    <t xml:space="preserve">Current Liabilities 9</t>
  </si>
  <si>
    <t xml:space="preserve">Current Liabilities 10</t>
  </si>
  <si>
    <t xml:space="preserve">TOTAL CURRENT LIABILITIES</t>
  </si>
  <si>
    <t xml:space="preserve">NON-CURRENT LIABILITIES</t>
  </si>
  <si>
    <t xml:space="preserve">Long-term Debt</t>
  </si>
  <si>
    <t xml:space="preserve">Non-Current Liabilities 4</t>
  </si>
  <si>
    <t xml:space="preserve">Non-Current Liabilities 5</t>
  </si>
  <si>
    <t xml:space="preserve">Non-Current Liabilities 6</t>
  </si>
  <si>
    <t xml:space="preserve">Non-Current Liabilities 7</t>
  </si>
  <si>
    <t xml:space="preserve">Non-Current Liabilities 8</t>
  </si>
  <si>
    <t xml:space="preserve">Non-Current Liabilities 9</t>
  </si>
  <si>
    <t xml:space="preserve">Non-Current Liabilities 10</t>
  </si>
  <si>
    <t xml:space="preserve">TOTAL NON-CURRENT LIABILITIES</t>
  </si>
  <si>
    <t xml:space="preserve">COMMON EQUITY</t>
  </si>
  <si>
    <t xml:space="preserve">Common Stock</t>
  </si>
  <si>
    <t xml:space="preserve">Paid-in Capital</t>
  </si>
  <si>
    <t xml:space="preserve">Retained Earnings</t>
  </si>
  <si>
    <t xml:space="preserve">Common Equity 4</t>
  </si>
  <si>
    <t xml:space="preserve">Common Equity 5</t>
  </si>
  <si>
    <t xml:space="preserve">Common Equity 6</t>
  </si>
  <si>
    <t xml:space="preserve">Common Equity 7</t>
  </si>
  <si>
    <t xml:space="preserve">Common Equity 8</t>
  </si>
  <si>
    <t xml:space="preserve">Common Equity 9</t>
  </si>
  <si>
    <t xml:space="preserve">Common Equity 10</t>
  </si>
  <si>
    <t xml:space="preserve">TOTAL COMMON EQUITY</t>
  </si>
  <si>
    <t xml:space="preserve">TOTAL LIABILITIES &amp; EQUITY</t>
  </si>
  <si>
    <t xml:space="preserve">Balance Sheet Check</t>
  </si>
  <si>
    <t xml:space="preserve">BALANCE SHEET ASSUMPTIONS</t>
  </si>
  <si>
    <t xml:space="preserve">Days Sales in A/R</t>
  </si>
  <si>
    <t xml:space="preserve">% of Revenue as Receivable Gas Imbalance</t>
  </si>
  <si>
    <t xml:space="preserve">Days in Receivable Gas Imbalance</t>
  </si>
  <si>
    <t xml:space="preserve">Days COGS in Inventory</t>
  </si>
  <si>
    <t xml:space="preserve">Days Cogs in A/P</t>
  </si>
  <si>
    <t xml:space="preserve">Statement of Cash Flows</t>
  </si>
  <si>
    <t xml:space="preserve">Volume Assumptions</t>
  </si>
  <si>
    <t xml:space="preserve">Alta Market Resources</t>
  </si>
  <si>
    <t xml:space="preserve">Alta Distributions</t>
  </si>
  <si>
    <t xml:space="preserve">Alta Pipeline Company</t>
  </si>
  <si>
    <t xml:space="preserve">(Volumes in TBtu's)</t>
  </si>
  <si>
    <t xml:space="preserve">     </t>
  </si>
  <si>
    <t xml:space="preserve">Included?</t>
  </si>
  <si>
    <t xml:space="preserve">Existing Pipeline</t>
  </si>
  <si>
    <t xml:space="preserve">Affiliated Volumes</t>
  </si>
  <si>
    <t xml:space="preserve">Non-affiliated Volumes</t>
  </si>
  <si>
    <t xml:space="preserve">New Projects (Total Capacity)</t>
  </si>
  <si>
    <t xml:space="preserve">Mainline 104</t>
  </si>
  <si>
    <t xml:space="preserve">Southern Trails</t>
  </si>
  <si>
    <t xml:space="preserve">Central Utah</t>
  </si>
  <si>
    <t xml:space="preserve">Throughput Volumes (MMBtu)</t>
  </si>
  <si>
    <t xml:space="preserve">Storage</t>
  </si>
  <si>
    <t xml:space="preserve">(O&amp;M + Storage Growth Assumptions Redux)</t>
  </si>
  <si>
    <t xml:space="preserve">Alta Gas Co</t>
  </si>
  <si>
    <t xml:space="preserve">Volume Growth Curves</t>
  </si>
  <si>
    <t xml:space="preserve">Capacity Discount</t>
  </si>
  <si>
    <t xml:space="preserve">Price Curves</t>
  </si>
  <si>
    <t xml:space="preserve">Avg. Transport Gas Rate</t>
  </si>
  <si>
    <t xml:space="preserve">Avg. Storage Rate</t>
  </si>
  <si>
    <t xml:space="preserve">Other Storage Revenue Growth</t>
  </si>
  <si>
    <t xml:space="preserve">Processing Revenue Growth</t>
  </si>
  <si>
    <t xml:space="preserve">Other Business Revenue Growth</t>
  </si>
  <si>
    <t xml:space="preserve">Interest &amp; Other Income Growth</t>
  </si>
  <si>
    <t xml:space="preserve">Unconsolidated Income Growth</t>
  </si>
  <si>
    <t xml:space="preserve">Expense Projections</t>
  </si>
  <si>
    <t xml:space="preserve">O &amp; M Growth</t>
  </si>
  <si>
    <t xml:space="preserve">Mainline 104 (Exp/Rev)</t>
  </si>
  <si>
    <t xml:space="preserve">Southern Trails (Exp/Rev)</t>
  </si>
  <si>
    <t xml:space="preserve">Other Taxes Growth</t>
  </si>
  <si>
    <t xml:space="preserve">Capex Growth Projections</t>
  </si>
  <si>
    <t xml:space="preserve">Transmission System CAPEX Growth</t>
  </si>
  <si>
    <t xml:space="preserve">Mainline 104 CAPEX Growth</t>
  </si>
  <si>
    <t xml:space="preserve">Southern Trails Pipeline CAPEX Growth</t>
  </si>
  <si>
    <t xml:space="preserve">Central Utah CAPEX Growth</t>
  </si>
  <si>
    <t xml:space="preserve">Storage CAPEX Growth</t>
  </si>
  <si>
    <t xml:space="preserve">Processing Plant CAPEX Growth</t>
  </si>
  <si>
    <t xml:space="preserve">Partnerships CAPEX Growth</t>
  </si>
  <si>
    <t xml:space="preserve">General CAPEX Growth</t>
  </si>
  <si>
    <t xml:space="preserve">Alta Other Businesses</t>
  </si>
  <si>
    <t xml:space="preserve">Consolidated Balance Sheet</t>
  </si>
  <si>
    <t xml:space="preserve">Elim.</t>
  </si>
  <si>
    <t xml:space="preserve">Pro Forma</t>
  </si>
  <si>
    <t xml:space="preserve">ASSETS</t>
  </si>
  <si>
    <t xml:space="preserve">Current Assets</t>
  </si>
  <si>
    <t xml:space="preserve">  Accounts &amp; Notes Receivable</t>
  </si>
  <si>
    <t xml:space="preserve">    Assoc Co</t>
  </si>
  <si>
    <t xml:space="preserve">    Other</t>
  </si>
  <si>
    <t xml:space="preserve">    Employee</t>
  </si>
  <si>
    <t xml:space="preserve">  Inventories</t>
  </si>
  <si>
    <t xml:space="preserve">  Materials &amp; Supplies</t>
  </si>
  <si>
    <t xml:space="preserve">  Prepayments - other</t>
  </si>
  <si>
    <t xml:space="preserve">  Misc. Other Current Assets</t>
  </si>
  <si>
    <t xml:space="preserve">SUBTOTAL</t>
  </si>
  <si>
    <t xml:space="preserve">Investments and Other Assets</t>
  </si>
  <si>
    <t xml:space="preserve">  PP&amp;E</t>
  </si>
  <si>
    <t xml:space="preserve">  Accum. Dep. - PP&amp;E</t>
  </si>
  <si>
    <t xml:space="preserve">Deferred Charges</t>
  </si>
  <si>
    <t xml:space="preserve">TOTAL Assets</t>
  </si>
  <si>
    <t xml:space="preserve">LIABILITIES &amp; CAPITAL</t>
  </si>
  <si>
    <t xml:space="preserve">Current Liabilities</t>
  </si>
  <si>
    <t xml:space="preserve">  Accounts Payable - Assoc Cos.</t>
  </si>
  <si>
    <t xml:space="preserve">  Accounts Payable - Other</t>
  </si>
  <si>
    <t xml:space="preserve">  Income Taxes Payable</t>
  </si>
  <si>
    <t xml:space="preserve">  Accrued Taxes</t>
  </si>
  <si>
    <t xml:space="preserve">  Deferred Income Taxes - Current</t>
  </si>
  <si>
    <t xml:space="preserve">  Other Misc Liability - Current</t>
  </si>
  <si>
    <t xml:space="preserve">Deferred Credits &amp; Other Liab.</t>
  </si>
  <si>
    <t xml:space="preserve">  Deferred Credits - Other</t>
  </si>
  <si>
    <t xml:space="preserve">  Deferred Income Taxes</t>
  </si>
  <si>
    <t xml:space="preserve">Capital</t>
  </si>
  <si>
    <t xml:space="preserve">  Payable to/(Rec. from) Co 535</t>
  </si>
  <si>
    <t xml:space="preserve">  Payable to/(Rec. from) Corp</t>
  </si>
  <si>
    <t xml:space="preserve">  Capitalization</t>
  </si>
  <si>
    <t xml:space="preserve">TOTAL LIAB. &amp; EQ.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</si>
</sst>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_(* #,##0.00_);_(* \(#,##0.00\);_(* \-??_);_(@_)"/>
    <numFmt numFmtId="166" formatCode="0%"/>
    <numFmt numFmtId="167" formatCode="0.0%"/>
    <numFmt numFmtId="168" formatCode="0"/>
    <numFmt numFmtId="169" formatCode="0.00%"/>
    <numFmt numFmtId="170" formatCode="_(* #,##0_);_(* \(#,##0\);_(* \-??_);_(@_)"/>
    <numFmt numFmtId="171" formatCode="_(\$* #,##0.00_);_(\$* \(#,##0.00\);_(\$* \-??_);_(@_)"/>
    <numFmt numFmtId="172" formatCode="#,##0.0_%_);\(#,##0.0\)_%;#,##0.0_%_);@_%_)"/>
    <numFmt numFmtId="173" formatCode="0.00%_);\(0.00%\);0.00%_);@_%_)"/>
    <numFmt numFmtId="174" formatCode="&quot;Yes&quot;_%_);;&quot;No&quot;_%_)"/>
    <numFmt numFmtId="175" formatCode="_(\$* #,##0_);_(\$* \(#,##0\);_(\$* \-??_);_(@_)"/>
    <numFmt numFmtId="176" formatCode="_(* #,##0_);_(* \(#,##0\);_(* \-_);_(@_)"/>
    <numFmt numFmtId="177" formatCode="_(\$* #,##0_);_(\$* \(#,##0\);_(\$* \-_);_(@_)"/>
    <numFmt numFmtId="178" formatCode="0.00"/>
    <numFmt numFmtId="179" formatCode="#\x"/>
    <numFmt numFmtId="180" formatCode="\$#,##0_);[RED]&quot;($&quot;#,##0\)"/>
    <numFmt numFmtId="181" formatCode="0%_);\(0%\);0%_);@_%_)"/>
    <numFmt numFmtId="182" formatCode="#,##0.00_%_);\(#,##0.00\)_%;#,##0.00_%_);@_%_)"/>
    <numFmt numFmtId="183" formatCode="\$#,##0.00_);[RED]&quot;($&quot;#,##0.00\)"/>
    <numFmt numFmtId="184" formatCode="\$#,##0.0_%_);&quot;($&quot;#,##0.0\)_%;\$#,##0.0_%_);@_%_)"/>
    <numFmt numFmtId="185" formatCode="_(* #,##0.0_);_(* \(#,##0.0\);_(* \-??_);_(@_)"/>
    <numFmt numFmtId="186" formatCode=";;;"/>
    <numFmt numFmtId="187" formatCode="_(\$* #,##0.000_);_(\$* \(#,##0.000\);_(\$* \-??_);_(@_)"/>
    <numFmt numFmtId="188" formatCode="_(\$* #,##0.000_);_(\$* \(#,##0.000\);_(\$* \-???_);_(@_)"/>
    <numFmt numFmtId="189" formatCode="0.0"/>
    <numFmt numFmtId="190" formatCode="_(* #,##0.0000_);_(* \(#,##0.0000\);_(* \-??_);_(@_)"/>
    <numFmt numFmtId="191" formatCode="_(\$* #,##0.00_);_(\$* \(#,##0.00\);_(\$* \-???_);_(@_)"/>
    <numFmt numFmtId="192" formatCode="###0_%_);\(#,##0\)_%;#,##0_%_);@_%_)"/>
    <numFmt numFmtId="193" formatCode="#,##0.0%_);\(#,##0.0%\);0.0%_);@_%_)"/>
    <numFmt numFmtId="194" formatCode="\$#,##0.00_%_);&quot;($&quot;#,##0.00\)_%;\$#,##0.00_%_);@_%_)"/>
    <numFmt numFmtId="195" formatCode="#,##0.0_%_);\(#,##0.0\)_%;[WHITE]#,##0.0_%_);@_%_)"/>
    <numFmt numFmtId="196" formatCode="\$#,##0_%_);&quot;($&quot;#,##0\)_%;\$#,##0_%_);@_%_)"/>
    <numFmt numFmtId="197" formatCode="0.00\x"/>
    <numFmt numFmtId="198" formatCode="[$-409]mmm\-yy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Helvetica-Black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9"/>
      <name val="Arial"/>
      <family val="2"/>
    </font>
    <font>
      <i val="true"/>
      <sz val="10"/>
      <name val="Arial"/>
      <family val="2"/>
    </font>
    <font>
      <b val="true"/>
      <sz val="11"/>
      <name val="Arial"/>
      <family val="2"/>
    </font>
    <font>
      <b val="true"/>
      <sz val="16"/>
      <color rgb="FFFFFFFF"/>
      <name val="Arial"/>
      <family val="2"/>
    </font>
    <font>
      <b val="true"/>
      <sz val="12"/>
      <color rgb="FF0000FF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sz val="9"/>
      <color rgb="FFFF000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FFFFFF"/>
      <name val="Arial"/>
      <family val="2"/>
    </font>
    <font>
      <sz val="10"/>
      <color rgb="FF0000FF"/>
      <name val="Arial"/>
      <family val="2"/>
    </font>
    <font>
      <sz val="10"/>
      <color rgb="FF0000FF"/>
      <name val="Arial"/>
      <family val="0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FFFFFF"/>
      <name val="Arial"/>
      <family val="2"/>
    </font>
    <font>
      <sz val="10"/>
      <color rgb="FF000000"/>
      <name val="Arial"/>
      <family val="2"/>
    </font>
    <font>
      <b val="true"/>
      <i val="true"/>
      <sz val="12"/>
      <name val="Arial"/>
      <family val="2"/>
    </font>
    <font>
      <sz val="8"/>
      <name val="Arial"/>
      <family val="2"/>
    </font>
    <font>
      <b val="true"/>
      <sz val="9"/>
      <color rgb="FFFFFFFF"/>
      <name val="Arial"/>
      <family val="2"/>
    </font>
    <font>
      <sz val="9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00"/>
      <name val="Arial"/>
      <family val="2"/>
    </font>
    <font>
      <sz val="10"/>
      <color rgb="FF003300"/>
      <name val="Arial"/>
      <family val="2"/>
    </font>
    <font>
      <i val="true"/>
      <sz val="10"/>
      <color rgb="FFFF0000"/>
      <name val="Arial"/>
      <family val="2"/>
    </font>
    <font>
      <u val="single"/>
      <sz val="10"/>
      <name val="Arial"/>
      <family val="2"/>
    </font>
    <font>
      <sz val="10"/>
      <color rgb="FF3366FF"/>
      <name val="Arial"/>
      <family val="2"/>
    </font>
    <font>
      <b val="tru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b val="true"/>
      <sz val="10"/>
      <color rgb="FF00808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  <font>
      <sz val="8"/>
      <color rgb="FF0000FF"/>
      <name val="Arial"/>
      <family val="2"/>
    </font>
    <font>
      <sz val="10"/>
      <color rgb="FF003366"/>
      <name val="Arial"/>
      <family val="2"/>
    </font>
    <font>
      <b val="true"/>
      <sz val="14"/>
      <color rgb="FFFFFFFF"/>
      <name val="Arial"/>
      <family val="2"/>
    </font>
    <font>
      <b val="true"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</cellStyleXfs>
  <cellXfs count="9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4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4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4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4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28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9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8" fillId="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4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0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2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3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23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23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6" fillId="0" borderId="1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5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5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5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6" fillId="5" borderId="1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5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5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6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6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9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1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6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3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3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6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5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5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5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5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6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2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6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6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3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2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0" fontId="20" fillId="6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7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4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4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6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26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3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9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2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4" fontId="6" fillId="0" borderId="2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6" fillId="0" borderId="23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6" fillId="0" borderId="12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4" fontId="6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6" fillId="0" borderId="2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3" borderId="23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24" fillId="3" borderId="2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3" borderId="2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9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6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94" fontId="6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94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4" fontId="6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4" fontId="6" fillId="0" borderId="4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6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6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" fillId="0" borderId="4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4" fillId="0" borderId="2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5" fontId="6" fillId="0" borderId="1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6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32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2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6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6" fillId="6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2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6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6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97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6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6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0" fillId="0" borderId="4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6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6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6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0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0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0" fillId="4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4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4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4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4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4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4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8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5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Crane SSB DCF08_30_00(6)" xfId="20"/>
    <cellStyle name="Normal_CONSOLIDATED" xfId="21"/>
    <cellStyle name="Normal_Crane SSB DCF08_30_00(6)" xfId="22"/>
    <cellStyle name="Normal_Project Zen~Full DCF 211299" xfId="23"/>
    <cellStyle name="Table Title" xfId="24"/>
  </cellStyles>
  <dxfs count="7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externalLink" Target="externalLinks/externalLink3.xml"/><Relationship Id="rId26" Type="http://schemas.openxmlformats.org/officeDocument/2006/relationships/externalLink" Target="externalLinks/externalLink4.xml"/><Relationship Id="rId27" Type="http://schemas.openxmlformats.org/officeDocument/2006/relationships/externalLink" Target="externalLinks/externalLink5.xml"/><Relationship Id="rId28" Type="http://schemas.openxmlformats.org/officeDocument/2006/relationships/externalLink" Target="externalLinks/externalLink6.xml"/><Relationship Id="rId29" Type="http://schemas.openxmlformats.org/officeDocument/2006/relationships/externalLink" Target="externalLinks/externalLink7.xml"/><Relationship Id="rId3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876240</xdr:colOff>
          <xdr:row>12</xdr:row>
          <xdr:rowOff>142920</xdr:rowOff>
        </xdr:from>
        <xdr:to>
          <xdr:col>3</xdr:col>
          <xdr:colOff>484560</xdr:colOff>
          <xdr:row>13</xdr:row>
          <xdr:rowOff>181080</xdr:rowOff>
        </xdr:to>
        <xdr:sp>
          <xdr:nvSpPr>
            <xdr:cNvPr id="1001" name="Button 16" descr="Sell TW Equit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Sell TW Equity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876240</xdr:colOff>
          <xdr:row>12</xdr:row>
          <xdr:rowOff>142920</xdr:rowOff>
        </xdr:from>
        <xdr:to>
          <xdr:col>4</xdr:col>
          <xdr:colOff>313560</xdr:colOff>
          <xdr:row>13</xdr:row>
          <xdr:rowOff>171000</xdr:rowOff>
        </xdr:to>
        <xdr:sp>
          <xdr:nvSpPr>
            <xdr:cNvPr id="1002" name="Button 17" descr="Sell Citrus Equit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Sell Citrus Equity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754560</xdr:colOff>
          <xdr:row>12</xdr:row>
          <xdr:rowOff>152280</xdr:rowOff>
        </xdr:from>
        <xdr:to>
          <xdr:col>5</xdr:col>
          <xdr:colOff>293040</xdr:colOff>
          <xdr:row>13</xdr:row>
          <xdr:rowOff>181080</xdr:rowOff>
        </xdr:to>
        <xdr:sp>
          <xdr:nvSpPr>
            <xdr:cNvPr id="1003" name="Button 19" descr="No Sell-dow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 Sell-down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684360</xdr:colOff>
      <xdr:row>39</xdr:row>
      <xdr:rowOff>0</xdr:rowOff>
    </xdr:from>
    <xdr:to>
      <xdr:col>6</xdr:col>
      <xdr:colOff>232560</xdr:colOff>
      <xdr:row>42</xdr:row>
      <xdr:rowOff>162000</xdr:rowOff>
    </xdr:to>
    <xdr:sp>
      <xdr:nvSpPr>
        <xdr:cNvPr id="8" name="Oval 10"/>
        <xdr:cNvSpPr/>
      </xdr:nvSpPr>
      <xdr:spPr>
        <a:xfrm>
          <a:off x="6420960" y="6753240"/>
          <a:ext cx="174132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160560</xdr:colOff>
      <xdr:row>1</xdr:row>
      <xdr:rowOff>0</xdr:rowOff>
    </xdr:from>
    <xdr:to>
      <xdr:col>5</xdr:col>
      <xdr:colOff>393120</xdr:colOff>
      <xdr:row>3</xdr:row>
      <xdr:rowOff>9360</xdr:rowOff>
    </xdr:to>
    <xdr:sp>
      <xdr:nvSpPr>
        <xdr:cNvPr id="9" name="Rectangle 11"/>
        <xdr:cNvSpPr/>
      </xdr:nvSpPr>
      <xdr:spPr>
        <a:xfrm>
          <a:off x="5897160" y="257040"/>
          <a:ext cx="1329120" cy="41904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694080</xdr:colOff>
      <xdr:row>115</xdr:row>
      <xdr:rowOff>9720</xdr:rowOff>
    </xdr:from>
    <xdr:to>
      <xdr:col>9</xdr:col>
      <xdr:colOff>484200</xdr:colOff>
      <xdr:row>119</xdr:row>
      <xdr:rowOff>28440</xdr:rowOff>
    </xdr:to>
    <xdr:sp>
      <xdr:nvSpPr>
        <xdr:cNvPr id="0" name="Oval 159"/>
        <xdr:cNvSpPr/>
      </xdr:nvSpPr>
      <xdr:spPr>
        <a:xfrm>
          <a:off x="5303520" y="10382400"/>
          <a:ext cx="1540800" cy="71424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684360</xdr:colOff>
      <xdr:row>39</xdr:row>
      <xdr:rowOff>0</xdr:rowOff>
    </xdr:from>
    <xdr:to>
      <xdr:col>6</xdr:col>
      <xdr:colOff>232560</xdr:colOff>
      <xdr:row>42</xdr:row>
      <xdr:rowOff>162000</xdr:rowOff>
    </xdr:to>
    <xdr:sp>
      <xdr:nvSpPr>
        <xdr:cNvPr id="1" name="Oval 12"/>
        <xdr:cNvSpPr/>
      </xdr:nvSpPr>
      <xdr:spPr>
        <a:xfrm>
          <a:off x="6420960" y="6753240"/>
          <a:ext cx="174132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160560</xdr:colOff>
      <xdr:row>1</xdr:row>
      <xdr:rowOff>0</xdr:rowOff>
    </xdr:from>
    <xdr:to>
      <xdr:col>5</xdr:col>
      <xdr:colOff>393120</xdr:colOff>
      <xdr:row>3</xdr:row>
      <xdr:rowOff>9360</xdr:rowOff>
    </xdr:to>
    <xdr:sp>
      <xdr:nvSpPr>
        <xdr:cNvPr id="2" name="Rectangle 14"/>
        <xdr:cNvSpPr/>
      </xdr:nvSpPr>
      <xdr:spPr>
        <a:xfrm>
          <a:off x="5897160" y="257040"/>
          <a:ext cx="1329120" cy="41904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896040</xdr:colOff>
      <xdr:row>39</xdr:row>
      <xdr:rowOff>0</xdr:rowOff>
    </xdr:from>
    <xdr:to>
      <xdr:col>6</xdr:col>
      <xdr:colOff>443880</xdr:colOff>
      <xdr:row>42</xdr:row>
      <xdr:rowOff>162000</xdr:rowOff>
    </xdr:to>
    <xdr:sp>
      <xdr:nvSpPr>
        <xdr:cNvPr id="3" name="Oval 10"/>
        <xdr:cNvSpPr/>
      </xdr:nvSpPr>
      <xdr:spPr>
        <a:xfrm>
          <a:off x="6562080" y="6753240"/>
          <a:ext cx="170172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160920</xdr:colOff>
      <xdr:row>1</xdr:row>
      <xdr:rowOff>0</xdr:rowOff>
    </xdr:from>
    <xdr:to>
      <xdr:col>5</xdr:col>
      <xdr:colOff>393120</xdr:colOff>
      <xdr:row>3</xdr:row>
      <xdr:rowOff>9360</xdr:rowOff>
    </xdr:to>
    <xdr:sp>
      <xdr:nvSpPr>
        <xdr:cNvPr id="4" name="Rectangle 11"/>
        <xdr:cNvSpPr/>
      </xdr:nvSpPr>
      <xdr:spPr>
        <a:xfrm>
          <a:off x="5826960" y="257040"/>
          <a:ext cx="1309320" cy="41904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160560</xdr:colOff>
      <xdr:row>34</xdr:row>
      <xdr:rowOff>133200</xdr:rowOff>
    </xdr:from>
    <xdr:to>
      <xdr:col>5</xdr:col>
      <xdr:colOff>161640</xdr:colOff>
      <xdr:row>38</xdr:row>
      <xdr:rowOff>123840</xdr:rowOff>
    </xdr:to>
    <xdr:sp>
      <xdr:nvSpPr>
        <xdr:cNvPr id="5" name="Oval 14"/>
        <xdr:cNvSpPr/>
      </xdr:nvSpPr>
      <xdr:spPr>
        <a:xfrm>
          <a:off x="4015080" y="5924520"/>
          <a:ext cx="184248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684720</xdr:colOff>
      <xdr:row>56</xdr:row>
      <xdr:rowOff>38160</xdr:rowOff>
    </xdr:from>
    <xdr:to>
      <xdr:col>5</xdr:col>
      <xdr:colOff>232560</xdr:colOff>
      <xdr:row>60</xdr:row>
      <xdr:rowOff>28440</xdr:rowOff>
    </xdr:to>
    <xdr:sp>
      <xdr:nvSpPr>
        <xdr:cNvPr id="6" name="Oval 1"/>
        <xdr:cNvSpPr/>
      </xdr:nvSpPr>
      <xdr:spPr>
        <a:xfrm>
          <a:off x="4771080" y="6448320"/>
          <a:ext cx="164052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161280</xdr:colOff>
      <xdr:row>1</xdr:row>
      <xdr:rowOff>0</xdr:rowOff>
    </xdr:from>
    <xdr:to>
      <xdr:col>4</xdr:col>
      <xdr:colOff>393120</xdr:colOff>
      <xdr:row>3</xdr:row>
      <xdr:rowOff>9360</xdr:rowOff>
    </xdr:to>
    <xdr:sp>
      <xdr:nvSpPr>
        <xdr:cNvPr id="7" name="Rectangle 2"/>
        <xdr:cNvSpPr/>
      </xdr:nvSpPr>
      <xdr:spPr>
        <a:xfrm>
          <a:off x="4247640" y="257040"/>
          <a:ext cx="1278360" cy="41904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:/Corporate/GPGFin/Cfp/JG-ADAMS/1999Cash/BusinessUnitCashFlo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LG&amp;E%20061200v2_r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LG&amp;E%2006120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nron%20Ind%20Markets/Excel%20Files/Crane/Active%20Cranes/Final_Quebec_120100_360%20(used%20by%20RAC)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Lge/PowerTex0110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ysle/Local%20Settings/Temporary%20Internet%20Files/OLK48/NPB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ysle/Local%20Settings/Temporary%20Internet%20Files/OLK48/Citrus-Enron%20W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QTRActivity"/>
      <sheetName val="DecYTD"/>
      <sheetName val="OctYTD"/>
      <sheetName val="SeptYTD"/>
      <sheetName val="JuneYTD"/>
      <sheetName val="MarchYTD"/>
      <sheetName val="AugustYTD"/>
      <sheetName val="SeptYTDAdj"/>
      <sheetName val="Working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  <sheetName val="LG&amp;E 061200v2_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TC"/>
      <sheetName val="Summary"/>
      <sheetName val="P&amp;L"/>
      <sheetName val="BS"/>
      <sheetName val="CFS"/>
      <sheetName val="DCF_CAN"/>
      <sheetName val="DCF_US"/>
      <sheetName val="Financing Assumptions"/>
      <sheetName val="Volume Assumptions"/>
      <sheetName val="Curves Assumptions"/>
      <sheetName val="Other Assumptions"/>
      <sheetName val="Pricing"/>
      <sheetName val="Fiber Flow"/>
      <sheetName val="Energy"/>
      <sheetName val="Depr"/>
      <sheetName val="Amort"/>
      <sheetName val="Taxes"/>
      <sheetName val="Debt"/>
      <sheetName val="Leduc"/>
      <sheetName val="Ste-Aurelie"/>
      <sheetName val="Appendix"/>
      <sheetName val="Costs"/>
      <sheetName val="Print Controls"/>
      <sheetName val="Quebec - Natural Gas"/>
      <sheetName val=" Quebec - Steam (QUC)"/>
      <sheetName val="Quebec - Bunker Fuel"/>
      <sheetName val="Contingent Liabilities"/>
      <sheetName val="Fiber flow backup"/>
      <sheetName val="LOG"/>
      <sheetName val="RAROC Assumptions"/>
      <sheetName val="RAROC Valuation"/>
      <sheetName val="Price Forecast"/>
      <sheetName val="Fuel Oil"/>
      <sheetName val="LIBOR"/>
      <sheetName val="USInf"/>
      <sheetName val="Canada"/>
      <sheetName val="SENS"/>
      <sheetName val="Sensitivities"/>
      <sheetName val="PrintMacro"/>
    </sheetNames>
    <sheetDataSet>
      <sheetData sheetId="0"/>
      <sheetData sheetId="1"/>
      <sheetData sheetId="2"/>
      <sheetData sheetId="3"/>
      <sheetData sheetId="4">
        <row r="7">
          <cell r="N7">
            <v>0</v>
          </cell>
          <cell r="O7">
            <v>0</v>
          </cell>
          <cell r="P7">
            <v>2.4596275344541</v>
          </cell>
          <cell r="Q7">
            <v>8.47841842873459</v>
          </cell>
          <cell r="R7">
            <v>7.79534002166762</v>
          </cell>
        </row>
      </sheetData>
      <sheetData sheetId="5">
        <row r="23">
          <cell r="O23">
            <v>0</v>
          </cell>
          <cell r="P23">
            <v>23.9446773251689</v>
          </cell>
          <cell r="Q23">
            <v>45.4885960263118</v>
          </cell>
          <cell r="R23">
            <v>36.6752766432065</v>
          </cell>
          <cell r="S23">
            <v>43.5344002418948</v>
          </cell>
        </row>
      </sheetData>
      <sheetData sheetId="6"/>
      <sheetData sheetId="7"/>
      <sheetData sheetId="8">
        <row r="33">
          <cell r="E33" t="str">
            <v>Debt Cash Sweep</v>
          </cell>
        </row>
      </sheetData>
      <sheetData sheetId="9"/>
      <sheetData sheetId="10">
        <row r="13">
          <cell r="N13">
            <v>1.53099839080683</v>
          </cell>
          <cell r="O13">
            <v>1.53099839080683</v>
          </cell>
          <cell r="P13">
            <v>1.52083418815541</v>
          </cell>
          <cell r="Q13">
            <v>1.51311287691794</v>
          </cell>
          <cell r="R13">
            <v>1.50640524218893</v>
          </cell>
          <cell r="S13">
            <v>1.49842245188088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wer Tex"/>
      <sheetName val="levered"/>
      <sheetName val="Balance Sheet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xplaination about this model"/>
      <sheetName val="Summary"/>
      <sheetName val="Sensitivities"/>
      <sheetName val="Unlevered Base Case"/>
      <sheetName val="Levd Base Case"/>
      <sheetName val="Holdco"/>
      <sheetName val="Levd Base Case @Mkt"/>
      <sheetName val="Holdco @ Mkt"/>
      <sheetName val="Levd Synergies @ Mkt"/>
      <sheetName val="Levd Synergies"/>
      <sheetName val="Pre-Trans Asset1"/>
      <sheetName val="Assumptions"/>
      <sheetName val="Post-Trans Ass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laination about this model"/>
      <sheetName val="Assumptions"/>
      <sheetName val="Summary"/>
      <sheetName val="Org Chart"/>
      <sheetName val="Fin Stats and Ratios"/>
      <sheetName val="Debt"/>
      <sheetName val="Lev. Consolid"/>
      <sheetName val="Unlev. Consolid"/>
      <sheetName val="Market Resources"/>
      <sheetName val="Gas Co"/>
      <sheetName val="Pipeline Co"/>
      <sheetName val="Wind"/>
      <sheetName val="Citrus"/>
      <sheetName val="Consolidated"/>
      <sheetName val="Asset 4"/>
      <sheetName val="Volumes"/>
      <sheetName val="Curves"/>
      <sheetName val="Scenarios"/>
      <sheetName val="Cons. BS"/>
    </sheetNames>
    <sheetDataSet>
      <sheetData sheetId="0"/>
      <sheetData sheetId="1">
        <row r="14">
          <cell r="D14">
            <v>880000</v>
          </cell>
        </row>
        <row r="15">
          <cell r="D15">
            <v>28.3</v>
          </cell>
        </row>
      </sheetData>
      <sheetData sheetId="2"/>
      <sheetData sheetId="3"/>
      <sheetData sheetId="4"/>
      <sheetData sheetId="5"/>
      <sheetData sheetId="6">
        <row r="23">
          <cell r="D23">
            <v>14151.2406893629</v>
          </cell>
          <cell r="E23">
            <v>21086.9688662313</v>
          </cell>
          <cell r="F23">
            <v>21900.1792954116</v>
          </cell>
          <cell r="G23">
            <v>23335.5506087369</v>
          </cell>
          <cell r="H23">
            <v>25300.2980021957</v>
          </cell>
        </row>
        <row r="40">
          <cell r="A40" t="str">
            <v>ENRON'S BASE EPS</v>
          </cell>
          <cell r="B40">
            <v>880000</v>
          </cell>
          <cell r="C40" t="str">
            <v>M Shares</v>
          </cell>
          <cell r="D40" t="str">
            <v>Growth of</v>
          </cell>
          <cell r="E40">
            <v>0.18</v>
          </cell>
        </row>
        <row r="40">
          <cell r="G40">
            <v>1.8</v>
          </cell>
          <cell r="H40">
            <v>2.1</v>
          </cell>
          <cell r="I40">
            <v>2.478</v>
          </cell>
          <cell r="J40">
            <v>2.92404</v>
          </cell>
          <cell r="K40">
            <v>3.4503672</v>
          </cell>
        </row>
        <row r="41">
          <cell r="A41" t="str">
            <v>  Pro Forma Earnings (Inc. interest on Dividends)</v>
          </cell>
        </row>
        <row r="41">
          <cell r="G41">
            <v>1571310.0635874</v>
          </cell>
          <cell r="H41">
            <v>1867883.30856615</v>
          </cell>
          <cell r="I41">
            <v>2234207.33579491</v>
          </cell>
          <cell r="J41">
            <v>2636288.44627366</v>
          </cell>
          <cell r="K41">
            <v>3103214.23275242</v>
          </cell>
        </row>
        <row r="42">
          <cell r="A42" t="str">
            <v>Equity Investment</v>
          </cell>
          <cell r="B42">
            <v>926797.865041366</v>
          </cell>
        </row>
        <row r="43">
          <cell r="A43" t="str">
            <v>Price of ENE Shares</v>
          </cell>
          <cell r="B43">
            <v>28.3</v>
          </cell>
        </row>
        <row r="44">
          <cell r="A44" t="str">
            <v>Additional Shares</v>
          </cell>
          <cell r="B44">
            <v>32749.0411675394</v>
          </cell>
        </row>
        <row r="45">
          <cell r="A45" t="str">
            <v>PRO FORMA EPS</v>
          </cell>
          <cell r="B45">
            <v>912749.041167539</v>
          </cell>
          <cell r="C45" t="str">
            <v>M Shares</v>
          </cell>
        </row>
        <row r="45">
          <cell r="G45">
            <v>1.7215137926384</v>
          </cell>
          <cell r="H45">
            <v>2.04643688935225</v>
          </cell>
          <cell r="I45">
            <v>2.44777834325307</v>
          </cell>
          <cell r="J45">
            <v>2.8882949500571</v>
          </cell>
          <cell r="K45">
            <v>3.39985482623236</v>
          </cell>
        </row>
        <row r="46">
          <cell r="A46" t="str">
            <v>  Incremenal EPS</v>
          </cell>
        </row>
        <row r="46">
          <cell r="G46">
            <v>-0.0784862073615984</v>
          </cell>
          <cell r="H46">
            <v>-0.0535631106477474</v>
          </cell>
          <cell r="I46">
            <v>-0.0302216567469324</v>
          </cell>
          <cell r="J46">
            <v>-0.0357450499429044</v>
          </cell>
          <cell r="K46">
            <v>-0.050512373767643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6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7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7" min="6" style="1" width="11.99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J2" s="2" t="s">
        <v>0</v>
      </c>
      <c r="K2" s="2" t="s">
        <v>1</v>
      </c>
    </row>
    <row r="3" customFormat="false" ht="18" hidden="false" customHeight="false" outlineLevel="0" collapsed="false">
      <c r="A3" s="3" t="s">
        <v>2</v>
      </c>
      <c r="G3" s="4" t="s">
        <v>3</v>
      </c>
      <c r="H3" s="5" t="s">
        <v>4</v>
      </c>
      <c r="J3" s="1" t="s">
        <v>5</v>
      </c>
    </row>
    <row r="4" customFormat="false" ht="12.75" hidden="false" customHeight="false" outlineLevel="0" collapsed="false">
      <c r="G4" s="4" t="s">
        <v>6</v>
      </c>
      <c r="H4" s="5" t="s">
        <v>7</v>
      </c>
      <c r="J4" s="1" t="s">
        <v>8</v>
      </c>
    </row>
    <row r="9" customFormat="false" ht="15" hidden="false" customHeight="false" outlineLevel="0" collapsed="false">
      <c r="A9" s="6" t="s">
        <v>9</v>
      </c>
    </row>
    <row r="12" customFormat="false" ht="12.75" hidden="false" customHeight="false" outlineLevel="0" collapsed="false">
      <c r="A12" s="2" t="n">
        <v>1</v>
      </c>
      <c r="B12" s="2" t="s">
        <v>10</v>
      </c>
      <c r="C12" s="2"/>
    </row>
    <row r="13" customFormat="false" ht="12.75" hidden="false" customHeight="false" outlineLevel="0" collapsed="false">
      <c r="B13" s="1" t="s">
        <v>11</v>
      </c>
    </row>
    <row r="14" customFormat="false" ht="12.75" hidden="false" customHeight="false" outlineLevel="0" collapsed="false">
      <c r="B14" s="1" t="s">
        <v>12</v>
      </c>
    </row>
    <row r="15" customFormat="false" ht="12.75" hidden="false" customHeight="false" outlineLevel="0" collapsed="false">
      <c r="B15" s="1" t="s">
        <v>13</v>
      </c>
    </row>
    <row r="17" customFormat="false" ht="12.75" hidden="false" customHeight="false" outlineLevel="0" collapsed="false">
      <c r="A17" s="2" t="n">
        <v>2</v>
      </c>
      <c r="B17" s="2" t="s">
        <v>14</v>
      </c>
      <c r="C17" s="2"/>
    </row>
    <row r="18" customFormat="false" ht="12.75" hidden="false" customHeight="false" outlineLevel="0" collapsed="false">
      <c r="A18" s="7" t="s">
        <v>15</v>
      </c>
      <c r="B18" s="1" t="s">
        <v>16</v>
      </c>
    </row>
    <row r="19" customFormat="false" ht="12.75" hidden="false" customHeight="false" outlineLevel="0" collapsed="false">
      <c r="A19" s="7" t="s">
        <v>17</v>
      </c>
      <c r="B19" s="1" t="s">
        <v>18</v>
      </c>
    </row>
    <row r="20" customFormat="false" ht="12.75" hidden="false" customHeight="false" outlineLevel="0" collapsed="false">
      <c r="A20" s="7" t="s">
        <v>19</v>
      </c>
      <c r="B20" s="1" t="s">
        <v>20</v>
      </c>
    </row>
    <row r="23" customFormat="false" ht="12.75" hidden="false" customHeight="false" outlineLevel="0" collapsed="false">
      <c r="A23" s="2" t="n">
        <v>2</v>
      </c>
      <c r="B23" s="2" t="s">
        <v>21</v>
      </c>
      <c r="C23" s="2"/>
    </row>
    <row r="24" customFormat="false" ht="12.75" hidden="false" customHeight="false" outlineLevel="0" collapsed="false">
      <c r="A24" s="7" t="s">
        <v>15</v>
      </c>
      <c r="B24" s="1" t="s">
        <v>22</v>
      </c>
    </row>
    <row r="25" customFormat="false" ht="12.75" hidden="false" customHeight="false" outlineLevel="0" collapsed="false">
      <c r="A25" s="7"/>
      <c r="B25" s="1" t="s">
        <v>23</v>
      </c>
    </row>
    <row r="26" customFormat="false" ht="12.75" hidden="false" customHeight="false" outlineLevel="0" collapsed="false">
      <c r="A26" s="7" t="s">
        <v>17</v>
      </c>
      <c r="B26" s="1" t="s">
        <v>24</v>
      </c>
    </row>
    <row r="27" customFormat="false" ht="12.75" hidden="false" customHeight="false" outlineLevel="0" collapsed="false">
      <c r="A27" s="7"/>
      <c r="B27" s="1" t="s">
        <v>25</v>
      </c>
    </row>
    <row r="28" customFormat="false" ht="12.75" hidden="false" customHeight="false" outlineLevel="0" collapsed="false">
      <c r="A28" s="7" t="s">
        <v>19</v>
      </c>
      <c r="B28" s="1" t="s">
        <v>26</v>
      </c>
    </row>
    <row r="29" customFormat="false" ht="12.75" hidden="false" customHeight="false" outlineLevel="0" collapsed="false">
      <c r="B29" s="1" t="s">
        <v>27</v>
      </c>
    </row>
    <row r="31" customFormat="false" ht="12.75" hidden="false" customHeight="false" outlineLevel="0" collapsed="false">
      <c r="A31" s="2" t="n">
        <v>3</v>
      </c>
      <c r="B31" s="2" t="s">
        <v>28</v>
      </c>
      <c r="C31" s="2"/>
      <c r="D31" s="2"/>
    </row>
    <row r="32" customFormat="false" ht="12.75" hidden="false" customHeight="false" outlineLevel="0" collapsed="false">
      <c r="A32" s="7" t="s">
        <v>15</v>
      </c>
      <c r="B32" s="1" t="s">
        <v>29</v>
      </c>
    </row>
    <row r="33" customFormat="false" ht="12.75" hidden="false" customHeight="false" outlineLevel="0" collapsed="false">
      <c r="A33" s="7"/>
      <c r="B33" s="1" t="s">
        <v>30</v>
      </c>
    </row>
    <row r="34" customFormat="false" ht="12.75" hidden="false" customHeight="false" outlineLevel="0" collapsed="false">
      <c r="A34" s="7" t="s">
        <v>17</v>
      </c>
      <c r="B34" s="1" t="s">
        <v>31</v>
      </c>
    </row>
    <row r="35" customFormat="false" ht="12.75" hidden="false" customHeight="false" outlineLevel="0" collapsed="false">
      <c r="B35" s="1" t="s">
        <v>32</v>
      </c>
    </row>
    <row r="36" customFormat="false" ht="12.75" hidden="false" customHeight="false" outlineLevel="0" collapsed="false">
      <c r="B36" s="1" t="s">
        <v>33</v>
      </c>
    </row>
    <row r="38" customFormat="false" ht="12.75" hidden="false" customHeight="false" outlineLevel="0" collapsed="false">
      <c r="B38" s="1" t="s">
        <v>34</v>
      </c>
    </row>
    <row r="39" customFormat="false" ht="12.75" hidden="false" customHeight="false" outlineLevel="0" collapsed="false">
      <c r="B39" s="1" t="s">
        <v>35</v>
      </c>
    </row>
    <row r="40" customFormat="false" ht="12.75" hidden="false" customHeight="false" outlineLevel="0" collapsed="false">
      <c r="B40" s="1" t="s">
        <v>36</v>
      </c>
    </row>
    <row r="41" customFormat="false" ht="12.75" hidden="false" customHeight="false" outlineLevel="0" collapsed="false">
      <c r="B41" s="1" t="s">
        <v>37</v>
      </c>
    </row>
    <row r="42" customFormat="false" ht="12.75" hidden="false" customHeight="false" outlineLevel="0" collapsed="false">
      <c r="B42" s="1" t="s">
        <v>38</v>
      </c>
    </row>
    <row r="43" customFormat="false" ht="12.75" hidden="false" customHeight="false" outlineLevel="0" collapsed="false">
      <c r="B43" s="1" t="s">
        <v>39</v>
      </c>
    </row>
    <row r="44" customFormat="false" ht="12.75" hidden="false" customHeight="false" outlineLevel="0" collapsed="false">
      <c r="B44" s="1" t="s">
        <v>40</v>
      </c>
    </row>
    <row r="46" customFormat="false" ht="12.75" hidden="false" customHeight="false" outlineLevel="0" collapsed="false">
      <c r="B46" s="1" t="s">
        <v>41</v>
      </c>
    </row>
    <row r="48" customFormat="false" ht="12.75" hidden="false" customHeight="false" outlineLevel="0" collapsed="false">
      <c r="A48" s="7" t="s">
        <v>19</v>
      </c>
      <c r="B48" s="1" t="s">
        <v>42</v>
      </c>
    </row>
    <row r="49" customFormat="false" ht="12.75" hidden="false" customHeight="false" outlineLevel="0" collapsed="false">
      <c r="B49" s="1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21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50" workbookViewId="0">
      <selection pane="topLeft" activeCell="G38" activeCellId="0" sqref="G38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27.56"/>
    <col collapsed="false" customWidth="true" hidden="false" outlineLevel="0" max="2" min="2" style="0" width="14.28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04" width="14.28"/>
    <col collapsed="false" customWidth="true" hidden="false" outlineLevel="0" max="6" min="6" style="204" width="14.14"/>
    <col collapsed="false" customWidth="true" hidden="false" outlineLevel="0" max="7" min="7" style="0" width="16.28"/>
    <col collapsed="false" customWidth="true" hidden="false" outlineLevel="0" max="9" min="8" style="0" width="14.41"/>
    <col collapsed="false" customWidth="true" hidden="false" outlineLevel="0" max="10" min="10" style="0" width="14.14"/>
    <col collapsed="false" customWidth="true" hidden="false" outlineLevel="0" max="13" min="11" style="0" width="16.84"/>
    <col collapsed="false" customWidth="true" hidden="false" outlineLevel="0" max="14" min="14" style="0" width="13.41"/>
    <col collapsed="false" customWidth="true" hidden="false" outlineLevel="0" max="16" min="15" style="0" width="12.28"/>
    <col collapsed="false" customWidth="true" hidden="false" outlineLevel="0" max="17" min="17" style="0" width="13.41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</row>
    <row r="2" customFormat="false" ht="18" hidden="false" customHeight="false" outlineLevel="0" collapsed="false">
      <c r="A2" s="552" t="s">
        <v>274</v>
      </c>
      <c r="B2" s="16"/>
      <c r="C2" s="18"/>
      <c r="E2" s="437"/>
    </row>
    <row r="3" customFormat="false" ht="16.5" hidden="false" customHeight="false" outlineLevel="0" collapsed="false">
      <c r="A3" s="445" t="s">
        <v>218</v>
      </c>
      <c r="B3" s="446"/>
      <c r="C3" s="30"/>
      <c r="E3" s="442"/>
      <c r="F3" s="243"/>
      <c r="G3" s="318"/>
      <c r="H3" s="318"/>
      <c r="I3" s="318"/>
      <c r="Q3" s="204"/>
    </row>
    <row r="4" customFormat="false" ht="12.75" hidden="false" customHeight="false" outlineLevel="0" collapsed="false">
      <c r="A4" s="447"/>
      <c r="B4" s="441"/>
      <c r="E4" s="442"/>
      <c r="F4" s="553"/>
      <c r="G4" s="318"/>
      <c r="H4" s="318"/>
      <c r="I4" s="318"/>
      <c r="Q4" s="204"/>
    </row>
    <row r="5" customFormat="false" ht="15.75" hidden="false" customHeight="false" outlineLevel="0" collapsed="false">
      <c r="A5" s="284" t="s">
        <v>155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204"/>
    </row>
    <row r="6" customFormat="false" ht="12.75" hidden="false" customHeight="false" outlineLevel="0" collapsed="false">
      <c r="C6" s="554" t="n">
        <v>1998</v>
      </c>
      <c r="D6" s="554" t="n">
        <v>1999</v>
      </c>
      <c r="E6" s="554" t="n">
        <v>2000</v>
      </c>
      <c r="F6" s="555" t="n">
        <f aca="false">G6-1</f>
        <v>2001</v>
      </c>
      <c r="G6" s="556" t="n">
        <v>2002</v>
      </c>
      <c r="H6" s="556" t="n">
        <f aca="false">G6+1</f>
        <v>2003</v>
      </c>
      <c r="I6" s="556" t="n">
        <f aca="false">H6+1</f>
        <v>2004</v>
      </c>
      <c r="J6" s="556" t="n">
        <f aca="false">I6+1</f>
        <v>2005</v>
      </c>
      <c r="K6" s="556" t="n">
        <f aca="false">J6+1</f>
        <v>2006</v>
      </c>
      <c r="L6" s="556" t="n">
        <f aca="false">K6+1</f>
        <v>2007</v>
      </c>
      <c r="M6" s="556" t="n">
        <f aca="false">L6+1</f>
        <v>2008</v>
      </c>
      <c r="N6" s="556" t="n">
        <f aca="false">M6+1</f>
        <v>2009</v>
      </c>
      <c r="O6" s="556" t="n">
        <f aca="false">N6+1</f>
        <v>2010</v>
      </c>
      <c r="P6" s="556" t="n">
        <f aca="false">O6+1</f>
        <v>2011</v>
      </c>
      <c r="Q6" s="204"/>
    </row>
    <row r="7" customFormat="false" ht="12.75" hidden="false" customHeight="false" outlineLevel="0" collapsed="false">
      <c r="C7" s="310"/>
      <c r="D7" s="310"/>
      <c r="E7" s="310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204"/>
    </row>
    <row r="8" customFormat="false" ht="12.75" hidden="false" customHeight="false" outlineLevel="0" collapsed="false">
      <c r="C8" s="310"/>
      <c r="D8" s="310"/>
      <c r="E8" s="310"/>
      <c r="F8" s="187"/>
      <c r="H8" s="187"/>
      <c r="I8" s="187"/>
      <c r="J8" s="187"/>
      <c r="K8" s="187"/>
      <c r="L8" s="187"/>
      <c r="M8" s="187"/>
      <c r="N8" s="187"/>
      <c r="O8" s="187"/>
      <c r="P8" s="187"/>
      <c r="Q8" s="204"/>
    </row>
    <row r="9" customFormat="false" ht="12.75" hidden="false" customHeight="false" outlineLevel="0" collapsed="false">
      <c r="C9" s="310"/>
      <c r="D9" s="310"/>
      <c r="E9" s="310"/>
      <c r="F9" s="187"/>
      <c r="G9" s="453" t="str">
        <f aca="false">IF(C45=1,A48,IF(C45=2,A53,A56))</f>
        <v>1. Base Case</v>
      </c>
      <c r="H9" s="187"/>
      <c r="I9" s="187"/>
      <c r="J9" s="187"/>
      <c r="K9" s="187"/>
      <c r="L9" s="187"/>
      <c r="M9" s="187"/>
      <c r="N9" s="187"/>
      <c r="O9" s="187"/>
      <c r="P9" s="187"/>
      <c r="Q9" s="204"/>
    </row>
    <row r="10" customFormat="false" ht="12.75" hidden="false" customHeight="false" outlineLevel="0" collapsed="false">
      <c r="A10" s="454" t="s">
        <v>275</v>
      </c>
      <c r="B10" s="455"/>
      <c r="C10" s="310"/>
      <c r="D10" s="310"/>
      <c r="E10" s="310" t="n">
        <f aca="false">E45</f>
        <v>339732</v>
      </c>
      <c r="F10" s="187" t="n">
        <f aca="false">F45</f>
        <v>491411</v>
      </c>
      <c r="G10" s="187" t="n">
        <f aca="false">G45</f>
        <v>576963</v>
      </c>
      <c r="H10" s="187" t="n">
        <f aca="false">H45</f>
        <v>590878</v>
      </c>
      <c r="I10" s="187" t="n">
        <f aca="false">I45</f>
        <v>606875</v>
      </c>
      <c r="J10" s="187" t="n">
        <f aca="false">J45</f>
        <v>611153</v>
      </c>
      <c r="K10" s="187" t="n">
        <f aca="false">K45</f>
        <v>611153</v>
      </c>
      <c r="L10" s="187" t="n">
        <f aca="false">L45</f>
        <v>611153</v>
      </c>
      <c r="M10" s="187" t="n">
        <f aca="false">M45</f>
        <v>611153</v>
      </c>
      <c r="N10" s="187" t="n">
        <f aca="false">N45</f>
        <v>611153</v>
      </c>
      <c r="O10" s="187" t="n">
        <f aca="false">O45</f>
        <v>611153</v>
      </c>
      <c r="P10" s="187" t="n">
        <f aca="false">P45</f>
        <v>611153</v>
      </c>
      <c r="Q10" s="204"/>
    </row>
    <row r="11" customFormat="false" ht="12.75" hidden="false" customHeight="false" outlineLevel="0" collapsed="false">
      <c r="A11" s="386"/>
      <c r="C11" s="557"/>
      <c r="D11" s="557"/>
      <c r="E11" s="557"/>
      <c r="F11" s="340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204"/>
    </row>
    <row r="12" customFormat="false" ht="12.75" hidden="false" customHeight="false" outlineLevel="0" collapsed="false">
      <c r="A12" s="386"/>
      <c r="C12" s="310"/>
      <c r="D12" s="310"/>
      <c r="E12" s="310"/>
      <c r="F12" s="187"/>
      <c r="G12" s="453" t="str">
        <f aca="false">IF(C62=1,A65,IF(C62=2,A71,A74))</f>
        <v>1. Base Case</v>
      </c>
      <c r="H12" s="187"/>
      <c r="I12" s="187"/>
      <c r="J12" s="187"/>
      <c r="K12" s="187"/>
      <c r="L12" s="187"/>
      <c r="M12" s="187"/>
      <c r="N12" s="187"/>
      <c r="O12" s="187"/>
      <c r="P12" s="187"/>
      <c r="Q12" s="204"/>
    </row>
    <row r="13" customFormat="false" ht="12.75" hidden="false" customHeight="false" outlineLevel="0" collapsed="false">
      <c r="A13" s="25" t="s">
        <v>276</v>
      </c>
      <c r="B13" s="459"/>
      <c r="C13" s="310"/>
      <c r="D13" s="310"/>
      <c r="E13" s="310" t="n">
        <f aca="false">E62</f>
        <v>90731</v>
      </c>
      <c r="F13" s="187" t="n">
        <f aca="false">F62</f>
        <v>182081</v>
      </c>
      <c r="G13" s="187" t="n">
        <f aca="false">G62</f>
        <v>234850</v>
      </c>
      <c r="H13" s="187" t="n">
        <f aca="false">H62</f>
        <v>243830</v>
      </c>
      <c r="I13" s="187" t="n">
        <f aca="false">I62</f>
        <v>246767</v>
      </c>
      <c r="J13" s="187" t="n">
        <f aca="false">J62</f>
        <v>245757</v>
      </c>
      <c r="K13" s="187" t="n">
        <f aca="false">K62</f>
        <v>245757</v>
      </c>
      <c r="L13" s="187" t="n">
        <f aca="false">L62</f>
        <v>245757</v>
      </c>
      <c r="M13" s="187" t="n">
        <f aca="false">M62</f>
        <v>245757</v>
      </c>
      <c r="N13" s="187" t="n">
        <f aca="false">N62</f>
        <v>245757</v>
      </c>
      <c r="O13" s="187" t="n">
        <f aca="false">O62</f>
        <v>245757</v>
      </c>
      <c r="P13" s="187" t="n">
        <f aca="false">P62</f>
        <v>245757</v>
      </c>
      <c r="Q13" s="204"/>
    </row>
    <row r="14" customFormat="false" ht="12.75" hidden="false" customHeight="false" outlineLevel="0" collapsed="false">
      <c r="A14" s="215" t="s">
        <v>197</v>
      </c>
      <c r="B14" s="197"/>
      <c r="C14" s="312"/>
      <c r="D14" s="312"/>
      <c r="E14" s="312" t="n">
        <f aca="false">(E10-E13)</f>
        <v>249001</v>
      </c>
      <c r="F14" s="199" t="n">
        <f aca="false">(F10-F13)</f>
        <v>309330</v>
      </c>
      <c r="G14" s="199" t="n">
        <f aca="false">(G10-G13)</f>
        <v>342113</v>
      </c>
      <c r="H14" s="199" t="n">
        <f aca="false">(H10-H13)</f>
        <v>347048</v>
      </c>
      <c r="I14" s="199" t="n">
        <f aca="false">(I10-I13)</f>
        <v>360108</v>
      </c>
      <c r="J14" s="199" t="n">
        <f aca="false">(J10-J13)</f>
        <v>365396</v>
      </c>
      <c r="K14" s="199" t="n">
        <f aca="false">(K10-K13)</f>
        <v>365396</v>
      </c>
      <c r="L14" s="199" t="n">
        <f aca="false">(L10-L13)</f>
        <v>365396</v>
      </c>
      <c r="M14" s="199" t="n">
        <f aca="false">(M10-M13)</f>
        <v>365396</v>
      </c>
      <c r="N14" s="199" t="n">
        <f aca="false">(N10-N13)</f>
        <v>365396</v>
      </c>
      <c r="O14" s="199" t="n">
        <f aca="false">(O10-O13)</f>
        <v>365396</v>
      </c>
      <c r="P14" s="199" t="n">
        <f aca="false">(P10-P13)</f>
        <v>365396</v>
      </c>
      <c r="Q14" s="184"/>
    </row>
    <row r="15" customFormat="false" ht="12.75" hidden="false" customHeight="false" outlineLevel="0" collapsed="false">
      <c r="A15" s="53" t="s">
        <v>163</v>
      </c>
      <c r="B15" s="53"/>
      <c r="C15" s="322"/>
      <c r="D15" s="322"/>
      <c r="E15" s="322" t="n">
        <f aca="false">E10/E13</f>
        <v>3.74438725463182</v>
      </c>
      <c r="F15" s="323" t="n">
        <f aca="false">F10/F13</f>
        <v>2.69885929888346</v>
      </c>
      <c r="G15" s="323" t="n">
        <f aca="false">G10/G13</f>
        <v>2.4567298275495</v>
      </c>
      <c r="H15" s="323" t="n">
        <f aca="false">H10/H13</f>
        <v>2.42331952589919</v>
      </c>
      <c r="I15" s="323" t="n">
        <f aca="false">I10/I13</f>
        <v>2.4593037156508</v>
      </c>
      <c r="J15" s="323" t="n">
        <f aca="false">J10/J13</f>
        <v>2.48681827984554</v>
      </c>
      <c r="K15" s="323" t="n">
        <f aca="false">K10/K13</f>
        <v>2.48681827984554</v>
      </c>
      <c r="L15" s="323" t="n">
        <f aca="false">L10/L13</f>
        <v>2.48681827984554</v>
      </c>
      <c r="M15" s="323" t="n">
        <f aca="false">M10/M13</f>
        <v>2.48681827984554</v>
      </c>
      <c r="N15" s="323" t="n">
        <f aca="false">N10/N13</f>
        <v>2.48681827984554</v>
      </c>
      <c r="O15" s="323" t="n">
        <f aca="false">O10/O13</f>
        <v>2.48681827984554</v>
      </c>
      <c r="P15" s="323" t="n">
        <f aca="false">P10/P13</f>
        <v>2.48681827984554</v>
      </c>
      <c r="Q15" s="204"/>
    </row>
    <row r="16" customFormat="false" ht="12.75" hidden="false" customHeight="false" outlineLevel="0" collapsed="false">
      <c r="A16" s="461" t="s">
        <v>221</v>
      </c>
      <c r="B16" s="53"/>
      <c r="C16" s="322"/>
      <c r="D16" s="322"/>
      <c r="E16" s="325" t="n">
        <f aca="false">E14/E10</f>
        <v>0.732933606489821</v>
      </c>
      <c r="F16" s="326" t="n">
        <f aca="false">F14/F10</f>
        <v>0.629473088717998</v>
      </c>
      <c r="G16" s="326" t="n">
        <f aca="false">G14/G10</f>
        <v>0.592954834192141</v>
      </c>
      <c r="H16" s="326" t="n">
        <f aca="false">H14/H10</f>
        <v>0.587342903272757</v>
      </c>
      <c r="I16" s="326" t="n">
        <f aca="false">I14/I10</f>
        <v>0.593380844490216</v>
      </c>
      <c r="J16" s="326" t="n">
        <f aca="false">J14/J10</f>
        <v>0.59787974533382</v>
      </c>
      <c r="K16" s="326" t="n">
        <f aca="false">K14/K10</f>
        <v>0.59787974533382</v>
      </c>
      <c r="L16" s="326" t="n">
        <f aca="false">L14/L10</f>
        <v>0.59787974533382</v>
      </c>
      <c r="M16" s="326" t="n">
        <f aca="false">M14/M10</f>
        <v>0.59787974533382</v>
      </c>
      <c r="N16" s="326" t="n">
        <f aca="false">N14/N10</f>
        <v>0.59787974533382</v>
      </c>
      <c r="O16" s="326" t="n">
        <f aca="false">O14/O10</f>
        <v>0.59787974533382</v>
      </c>
      <c r="P16" s="326" t="n">
        <f aca="false">P14/P10</f>
        <v>0.59787974533382</v>
      </c>
      <c r="Q16" s="204"/>
    </row>
    <row r="17" customFormat="false" ht="12.75" hidden="false" customHeight="false" outlineLevel="0" collapsed="false">
      <c r="A17" s="53"/>
      <c r="B17" s="53"/>
      <c r="C17" s="322"/>
      <c r="D17" s="322"/>
      <c r="E17" s="322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04"/>
    </row>
    <row r="18" customFormat="false" ht="12.75" hidden="false" customHeight="false" outlineLevel="0" collapsed="false">
      <c r="A18" s="243" t="s">
        <v>277</v>
      </c>
      <c r="C18" s="310"/>
      <c r="D18" s="310"/>
      <c r="E18" s="527" t="n">
        <f aca="false">8032</f>
        <v>8032</v>
      </c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204"/>
    </row>
    <row r="19" customFormat="false" ht="12.75" hidden="false" customHeight="false" outlineLevel="0" collapsed="false">
      <c r="A19" s="386" t="s">
        <v>168</v>
      </c>
      <c r="C19" s="310"/>
      <c r="D19" s="310"/>
      <c r="E19" s="527" t="n">
        <v>38119</v>
      </c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204"/>
    </row>
    <row r="20" customFormat="false" ht="12.75" hidden="false" customHeight="false" outlineLevel="0" collapsed="false">
      <c r="A20" s="386" t="s">
        <v>278</v>
      </c>
      <c r="B20" s="466"/>
      <c r="C20" s="310"/>
      <c r="D20" s="310"/>
      <c r="E20" s="317" t="n">
        <f aca="false">E87</f>
        <v>61054</v>
      </c>
      <c r="F20" s="192" t="n">
        <f aca="false">F87</f>
        <v>55679.3775</v>
      </c>
      <c r="G20" s="192" t="n">
        <f aca="false">G87</f>
        <v>56300.2425</v>
      </c>
      <c r="H20" s="192" t="n">
        <f aca="false">H87</f>
        <v>58262.8275</v>
      </c>
      <c r="I20" s="192" t="n">
        <f aca="false">I87</f>
        <v>60478.605</v>
      </c>
      <c r="J20" s="192" t="n">
        <f aca="false">J87</f>
        <v>61820.3925</v>
      </c>
      <c r="K20" s="192" t="n">
        <f aca="false">K87</f>
        <v>62741.745</v>
      </c>
      <c r="L20" s="192" t="n">
        <f aca="false">L87</f>
        <v>63663.0975</v>
      </c>
      <c r="M20" s="192" t="n">
        <f aca="false">M87</f>
        <v>64584.45</v>
      </c>
      <c r="N20" s="192" t="n">
        <f aca="false">N87</f>
        <v>65505.8025</v>
      </c>
      <c r="O20" s="192" t="n">
        <f aca="false">O87</f>
        <v>66427.155</v>
      </c>
      <c r="P20" s="192" t="n">
        <f aca="false">P87</f>
        <v>67348.5075</v>
      </c>
      <c r="Q20" s="204"/>
    </row>
    <row r="21" customFormat="false" ht="12.75" hidden="false" customHeight="false" outlineLevel="0" collapsed="false">
      <c r="C21" s="310"/>
      <c r="D21" s="310"/>
      <c r="E21" s="310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204"/>
    </row>
    <row r="22" customFormat="false" ht="12.75" hidden="false" customHeight="false" outlineLevel="0" collapsed="false">
      <c r="A22" s="215" t="s">
        <v>200</v>
      </c>
      <c r="B22" s="197"/>
      <c r="C22" s="312"/>
      <c r="D22" s="312"/>
      <c r="E22" s="312" t="n">
        <f aca="false">E14+E18+E19-E20</f>
        <v>234098</v>
      </c>
      <c r="F22" s="199" t="n">
        <f aca="false">F14+F18+F19-F20</f>
        <v>253650.6225</v>
      </c>
      <c r="G22" s="199" t="n">
        <f aca="false">G14+G18+G19-G20</f>
        <v>285812.7575</v>
      </c>
      <c r="H22" s="199" t="n">
        <f aca="false">H14+H18+H19-H20</f>
        <v>288785.1725</v>
      </c>
      <c r="I22" s="199" t="n">
        <f aca="false">I14+I18+I19-I20</f>
        <v>299629.395</v>
      </c>
      <c r="J22" s="199" t="n">
        <f aca="false">J14+J18+J19-J20</f>
        <v>303575.6075</v>
      </c>
      <c r="K22" s="199" t="n">
        <f aca="false">K14+K18+K19-K20</f>
        <v>302654.255</v>
      </c>
      <c r="L22" s="199" t="n">
        <f aca="false">L14+L18+L19-L20</f>
        <v>301732.9025</v>
      </c>
      <c r="M22" s="199" t="n">
        <f aca="false">M14+M18+M19-M20</f>
        <v>300811.55</v>
      </c>
      <c r="N22" s="199" t="n">
        <f aca="false">N14+N18+N19-N20</f>
        <v>299890.1975</v>
      </c>
      <c r="O22" s="199" t="n">
        <f aca="false">O14+O18+O19-O20</f>
        <v>298968.845</v>
      </c>
      <c r="P22" s="199" t="n">
        <f aca="false">P14+P18+P19-P20</f>
        <v>298047.4925</v>
      </c>
      <c r="Q22" s="204"/>
    </row>
    <row r="23" customFormat="false" ht="12.75" hidden="false" customHeight="false" outlineLevel="0" collapsed="false">
      <c r="C23" s="310"/>
      <c r="D23" s="310"/>
      <c r="E23" s="310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204"/>
    </row>
    <row r="24" customFormat="false" ht="12.75" hidden="false" customHeight="false" outlineLevel="0" collapsed="false">
      <c r="A24" s="187" t="s">
        <v>173</v>
      </c>
      <c r="C24" s="310"/>
      <c r="D24" s="310"/>
      <c r="E24" s="310" t="n">
        <f aca="false">$B$26*(E14+E18+E19-E93)</f>
        <v>113633.52</v>
      </c>
      <c r="F24" s="187" t="n">
        <f aca="false">$B$26*(F14+F18+F19-F93)</f>
        <v>80906.68355</v>
      </c>
      <c r="G24" s="187" t="n">
        <f aca="false">$B$26*(G14+G18+G19-G93)</f>
        <v>92655.287725</v>
      </c>
      <c r="H24" s="187" t="n">
        <f aca="false">$B$26*(H14+H18+H19-H93)</f>
        <v>92470.2257325</v>
      </c>
      <c r="I24" s="187" t="n">
        <f aca="false">$B$26*(I14+I18+I19-I93)</f>
        <v>94256.87656</v>
      </c>
      <c r="J24" s="187" t="n">
        <f aca="false">$B$26*(J14+J18+J19-J93)</f>
        <v>103357.8617995</v>
      </c>
      <c r="K24" s="187" t="n">
        <f aca="false">$B$26*(K14+K18+K19-K93)</f>
        <v>102317.00171</v>
      </c>
      <c r="L24" s="187" t="n">
        <f aca="false">$B$26*(L14+L18+L19-L93)</f>
        <v>101717.6824125</v>
      </c>
      <c r="M24" s="187" t="n">
        <f aca="false">$B$26*(M14+M18+M19-M93)</f>
        <v>101126.972485</v>
      </c>
      <c r="N24" s="187" t="n">
        <f aca="false">$B$26*(N14+N18+N19-N93)</f>
        <v>109916.723917</v>
      </c>
      <c r="O24" s="187" t="n">
        <f aca="false">$B$26*(O14+O18+O19-O93)</f>
        <v>109109.7149065</v>
      </c>
      <c r="P24" s="187" t="n">
        <f aca="false">$B$26*(P14+P18+P19-P93)</f>
        <v>108200.243844</v>
      </c>
      <c r="Q24" s="204"/>
    </row>
    <row r="25" customFormat="false" ht="15" hidden="false" customHeight="false" outlineLevel="0" collapsed="false">
      <c r="A25" s="187" t="s">
        <v>125</v>
      </c>
      <c r="C25" s="338"/>
      <c r="D25" s="338"/>
      <c r="E25" s="338" t="n">
        <f aca="false">E26-E24</f>
        <v>-23505.79</v>
      </c>
      <c r="F25" s="339" t="n">
        <f aca="false">F26-F24</f>
        <v>16748.8061125</v>
      </c>
      <c r="G25" s="339" t="n">
        <f aca="false">G26-G24</f>
        <v>17382.6239125</v>
      </c>
      <c r="H25" s="339" t="n">
        <f aca="false">H26-H24</f>
        <v>18712.06568</v>
      </c>
      <c r="I25" s="339" t="n">
        <f aca="false">I26-I24</f>
        <v>21100.440515</v>
      </c>
      <c r="J25" s="339" t="n">
        <f aca="false">J26-J24</f>
        <v>13518.747088</v>
      </c>
      <c r="K25" s="339" t="n">
        <f aca="false">K26-K24</f>
        <v>14204.886465</v>
      </c>
      <c r="L25" s="339" t="n">
        <f aca="false">L26-L24</f>
        <v>14449.48505</v>
      </c>
      <c r="M25" s="339" t="n">
        <f aca="false">M26-M24</f>
        <v>14685.474265</v>
      </c>
      <c r="N25" s="339" t="n">
        <f aca="false">N26-N24</f>
        <v>5541.00212049999</v>
      </c>
      <c r="O25" s="339" t="n">
        <f aca="false">O26-O24</f>
        <v>5993.29041849998</v>
      </c>
      <c r="P25" s="339" t="n">
        <f aca="false">P26-P24</f>
        <v>6548.04076850001</v>
      </c>
      <c r="Q25" s="204"/>
    </row>
    <row r="26" customFormat="false" ht="12.75" hidden="false" customHeight="false" outlineLevel="0" collapsed="false">
      <c r="A26" s="340" t="s">
        <v>279</v>
      </c>
      <c r="B26" s="558" t="n">
        <f aca="false">Assumptions!D10</f>
        <v>0.385</v>
      </c>
      <c r="C26" s="310"/>
      <c r="D26" s="310"/>
      <c r="E26" s="310" t="n">
        <f aca="false">$B$26*E22</f>
        <v>90127.73</v>
      </c>
      <c r="F26" s="187" t="n">
        <f aca="false">$B$26*F22</f>
        <v>97655.4896625</v>
      </c>
      <c r="G26" s="187" t="n">
        <f aca="false">$B$26*G22</f>
        <v>110037.9116375</v>
      </c>
      <c r="H26" s="187" t="n">
        <f aca="false">$B$26*H22</f>
        <v>111182.2914125</v>
      </c>
      <c r="I26" s="187" t="n">
        <f aca="false">$B$26*I22</f>
        <v>115357.317075</v>
      </c>
      <c r="J26" s="187" t="n">
        <f aca="false">$B$26*J22</f>
        <v>116876.6088875</v>
      </c>
      <c r="K26" s="187" t="n">
        <f aca="false">$B$26*K22</f>
        <v>116521.888175</v>
      </c>
      <c r="L26" s="187" t="n">
        <f aca="false">$B$26*L22</f>
        <v>116167.1674625</v>
      </c>
      <c r="M26" s="187" t="n">
        <f aca="false">$B$26*M22</f>
        <v>115812.44675</v>
      </c>
      <c r="N26" s="187" t="n">
        <f aca="false">$B$26*N22</f>
        <v>115457.7260375</v>
      </c>
      <c r="O26" s="187" t="n">
        <f aca="false">$B$26*O22</f>
        <v>115103.005325</v>
      </c>
      <c r="P26" s="187" t="n">
        <f aca="false">$B$26*P22</f>
        <v>114748.2846125</v>
      </c>
      <c r="Q26" s="204"/>
    </row>
    <row r="27" customFormat="false" ht="12.75" hidden="false" customHeight="false" outlineLevel="0" collapsed="false">
      <c r="A27" s="187"/>
      <c r="C27" s="310"/>
      <c r="D27" s="310"/>
      <c r="E27" s="310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204"/>
    </row>
    <row r="28" customFormat="false" ht="12.75" hidden="false" customHeight="false" outlineLevel="0" collapsed="false">
      <c r="A28" s="559" t="s">
        <v>204</v>
      </c>
      <c r="B28" s="197"/>
      <c r="C28" s="312"/>
      <c r="D28" s="312"/>
      <c r="E28" s="312" t="n">
        <f aca="false">E22-E26</f>
        <v>143970.27</v>
      </c>
      <c r="F28" s="199" t="n">
        <f aca="false">F22-F26</f>
        <v>155995.1328375</v>
      </c>
      <c r="G28" s="199" t="n">
        <f aca="false">G22-G26</f>
        <v>175774.8458625</v>
      </c>
      <c r="H28" s="199" t="n">
        <f aca="false">H22-H26</f>
        <v>177602.8810875</v>
      </c>
      <c r="I28" s="199" t="n">
        <f aca="false">I22-I26</f>
        <v>184272.077925</v>
      </c>
      <c r="J28" s="199" t="n">
        <f aca="false">J22-J26</f>
        <v>186698.9986125</v>
      </c>
      <c r="K28" s="199" t="n">
        <f aca="false">K22-K26</f>
        <v>186132.366825</v>
      </c>
      <c r="L28" s="199" t="n">
        <f aca="false">L22-L26</f>
        <v>185565.7350375</v>
      </c>
      <c r="M28" s="199" t="n">
        <f aca="false">M22-M26</f>
        <v>184999.10325</v>
      </c>
      <c r="N28" s="199" t="n">
        <f aca="false">N22-N26</f>
        <v>184432.4714625</v>
      </c>
      <c r="O28" s="199" t="n">
        <f aca="false">O22-O26</f>
        <v>183865.839675</v>
      </c>
      <c r="P28" s="199" t="n">
        <f aca="false">P22-P26</f>
        <v>183299.2078875</v>
      </c>
    </row>
    <row r="29" customFormat="false" ht="12.75" hidden="false" customHeight="false" outlineLevel="0" collapsed="false">
      <c r="A29" s="187"/>
      <c r="C29" s="310"/>
      <c r="D29" s="310"/>
      <c r="E29" s="310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477" t="s">
        <v>197</v>
      </c>
    </row>
    <row r="30" customFormat="false" ht="12.75" hidden="false" customHeight="false" outlineLevel="0" collapsed="false">
      <c r="A30" s="348" t="s">
        <v>226</v>
      </c>
      <c r="C30" s="310"/>
      <c r="D30" s="310"/>
      <c r="E30" s="310" t="n">
        <f aca="false">E28+E25+E20</f>
        <v>181518.48</v>
      </c>
      <c r="F30" s="187" t="n">
        <f aca="false">F28+F25+F20</f>
        <v>228423.31645</v>
      </c>
      <c r="G30" s="187" t="n">
        <f aca="false">G28+G25+G20</f>
        <v>249457.712275</v>
      </c>
      <c r="H30" s="187" t="n">
        <f aca="false">H28+H25+H20</f>
        <v>254577.7742675</v>
      </c>
      <c r="I30" s="187" t="n">
        <f aca="false">I28+I25+I20</f>
        <v>265851.12344</v>
      </c>
      <c r="J30" s="187" t="n">
        <f aca="false">J28+J25+J20</f>
        <v>262038.1382005</v>
      </c>
      <c r="K30" s="187" t="n">
        <f aca="false">K28+K25+K20</f>
        <v>263078.99829</v>
      </c>
      <c r="L30" s="187" t="n">
        <f aca="false">L28+L25+L20</f>
        <v>263678.3175875</v>
      </c>
      <c r="M30" s="187" t="n">
        <f aca="false">M28+M25+M20</f>
        <v>264269.027515</v>
      </c>
      <c r="N30" s="187" t="n">
        <f aca="false">N28+N25+N20</f>
        <v>255479.276083</v>
      </c>
      <c r="O30" s="187" t="n">
        <f aca="false">O28+O25+O20</f>
        <v>256286.2850935</v>
      </c>
      <c r="P30" s="187" t="n">
        <f aca="false">P28+P25+P20</f>
        <v>257195.756156</v>
      </c>
      <c r="Q30" s="477" t="s">
        <v>225</v>
      </c>
    </row>
    <row r="31" customFormat="false" ht="12.75" hidden="false" customHeight="false" outlineLevel="0" collapsed="false">
      <c r="A31" s="348" t="s">
        <v>209</v>
      </c>
      <c r="B31" s="479"/>
      <c r="C31" s="310"/>
      <c r="D31" s="310"/>
      <c r="E31" s="310" t="n">
        <f aca="false">E80</f>
        <v>19721</v>
      </c>
      <c r="F31" s="187" t="n">
        <f aca="false">F80</f>
        <v>27594</v>
      </c>
      <c r="G31" s="187" t="n">
        <f aca="false">G80</f>
        <v>87226</v>
      </c>
      <c r="H31" s="187" t="n">
        <f aca="false">H80</f>
        <v>98479</v>
      </c>
      <c r="I31" s="187" t="n">
        <f aca="false">I80</f>
        <v>59635</v>
      </c>
      <c r="J31" s="187" t="n">
        <f aca="false">J80</f>
        <v>40949</v>
      </c>
      <c r="K31" s="187" t="n">
        <f aca="false">K80</f>
        <v>40949</v>
      </c>
      <c r="L31" s="187" t="n">
        <f aca="false">L80</f>
        <v>40949</v>
      </c>
      <c r="M31" s="187" t="n">
        <f aca="false">M80</f>
        <v>40949</v>
      </c>
      <c r="N31" s="187" t="n">
        <f aca="false">N80</f>
        <v>40949</v>
      </c>
      <c r="O31" s="187" t="n">
        <f aca="false">O80</f>
        <v>40949</v>
      </c>
      <c r="P31" s="187" t="n">
        <f aca="false">P80</f>
        <v>40949</v>
      </c>
      <c r="Q31" s="560" t="n">
        <f aca="false">Scenarios!C5</f>
        <v>9</v>
      </c>
    </row>
    <row r="32" customFormat="false" ht="12.75" hidden="false" customHeight="false" outlineLevel="0" collapsed="false">
      <c r="A32" s="561" t="s">
        <v>280</v>
      </c>
      <c r="B32" s="197"/>
      <c r="C32" s="312"/>
      <c r="D32" s="312"/>
      <c r="E32" s="312" t="n">
        <f aca="false">E30-E31</f>
        <v>161797.48</v>
      </c>
      <c r="F32" s="199" t="n">
        <f aca="false">F30-F31</f>
        <v>200829.31645</v>
      </c>
      <c r="G32" s="199" t="n">
        <f aca="false">G30-G31</f>
        <v>162231.712275</v>
      </c>
      <c r="H32" s="199" t="n">
        <f aca="false">H30-H31</f>
        <v>156098.7742675</v>
      </c>
      <c r="I32" s="199" t="n">
        <f aca="false">I30-I31</f>
        <v>206216.12344</v>
      </c>
      <c r="J32" s="199" t="n">
        <f aca="false">J30-J31</f>
        <v>221089.1382005</v>
      </c>
      <c r="K32" s="199" t="n">
        <f aca="false">K30-K31</f>
        <v>222129.99829</v>
      </c>
      <c r="L32" s="199" t="n">
        <f aca="false">L30-L31</f>
        <v>222729.3175875</v>
      </c>
      <c r="M32" s="199" t="n">
        <f aca="false">M30-M31</f>
        <v>223320.027515</v>
      </c>
      <c r="N32" s="199" t="n">
        <f aca="false">N30-N31</f>
        <v>214530.276083</v>
      </c>
      <c r="O32" s="199" t="n">
        <f aca="false">O30-O31</f>
        <v>215337.2850935</v>
      </c>
      <c r="P32" s="199" t="n">
        <f aca="false">P30-P31+Q32</f>
        <v>3504810.756156</v>
      </c>
      <c r="Q32" s="562" t="n">
        <f aca="false">P14*$Q$31</f>
        <v>3288564</v>
      </c>
    </row>
    <row r="33" customFormat="false" ht="12.75" hidden="false" customHeight="false" outlineLevel="0" collapsed="false">
      <c r="A33" s="340"/>
      <c r="D33" s="308"/>
      <c r="E33" s="563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</row>
    <row r="34" customFormat="false" ht="13.5" hidden="false" customHeight="false" outlineLevel="0" collapsed="false">
      <c r="Q34" s="187"/>
    </row>
    <row r="35" customFormat="false" ht="15" hidden="false" customHeight="false" outlineLevel="0" collapsed="false">
      <c r="F35" s="0"/>
      <c r="G35" s="490" t="s">
        <v>181</v>
      </c>
      <c r="H35" s="491" t="str">
        <f aca="false">(Assumptions!D8-1&amp;" EBITDA")</f>
        <v>2001 EBITDA</v>
      </c>
      <c r="I35" s="491" t="s">
        <v>230</v>
      </c>
      <c r="J35" s="492"/>
      <c r="K35" s="493" t="s">
        <v>182</v>
      </c>
      <c r="L35" s="493"/>
      <c r="M35" s="493"/>
      <c r="P35" s="187"/>
      <c r="Q35" s="187"/>
    </row>
    <row r="36" customFormat="false" ht="15" hidden="false" customHeight="false" outlineLevel="0" collapsed="false">
      <c r="F36" s="0"/>
      <c r="G36" s="494" t="s">
        <v>183</v>
      </c>
      <c r="H36" s="495" t="s">
        <v>136</v>
      </c>
      <c r="I36" s="495" t="s">
        <v>231</v>
      </c>
      <c r="J36" s="496"/>
      <c r="K36" s="497" t="n">
        <v>0.089</v>
      </c>
      <c r="L36" s="498" t="n">
        <f aca="false">Scenarios!C6</f>
        <v>0.075</v>
      </c>
      <c r="M36" s="499" t="n">
        <f aca="false">Asset1Drate+0.025</f>
        <v>0.1</v>
      </c>
      <c r="P36" s="187"/>
      <c r="Q36" s="187"/>
    </row>
    <row r="37" customFormat="false" ht="12.75" hidden="false" customHeight="false" outlineLevel="0" collapsed="false">
      <c r="F37" s="308" t="s">
        <v>184</v>
      </c>
      <c r="G37" s="369"/>
      <c r="H37" s="500"/>
      <c r="I37" s="500"/>
      <c r="J37" s="370"/>
      <c r="K37" s="370"/>
      <c r="L37" s="370"/>
      <c r="M37" s="372"/>
      <c r="P37" s="187"/>
      <c r="Q37" s="187"/>
    </row>
    <row r="38" customFormat="false" ht="13.5" hidden="false" customHeight="false" outlineLevel="0" collapsed="false">
      <c r="F38" s="0" t="n">
        <f aca="false">IF(ABS(G38-L38)&lt;0.05,0,1)</f>
        <v>0</v>
      </c>
      <c r="G38" s="564" t="n">
        <v>2984308.80117002</v>
      </c>
      <c r="H38" s="502" t="n">
        <f aca="false">G38/F14</f>
        <v>9.64765396557082</v>
      </c>
      <c r="I38" s="503"/>
      <c r="J38" s="504"/>
      <c r="K38" s="565" t="n">
        <f aca="false">NPV(K36,$G$32:$P$32)</f>
        <v>2701550.45255944</v>
      </c>
      <c r="L38" s="377" t="n">
        <f aca="false">NPV(L36,$G$32:$P$32)</f>
        <v>2984308.80117002</v>
      </c>
      <c r="M38" s="378" t="n">
        <f aca="false">NPV(M36,$G$32:$P$32)</f>
        <v>2503339.59353871</v>
      </c>
      <c r="P38" s="187"/>
      <c r="Q38" s="187"/>
    </row>
    <row r="39" customFormat="false" ht="12.75" hidden="false" customHeight="false" outlineLevel="0" collapsed="false">
      <c r="F39" s="0"/>
      <c r="G39" s="187"/>
      <c r="H39" s="507"/>
      <c r="I39" s="507"/>
      <c r="J39" s="187"/>
      <c r="K39" s="187"/>
      <c r="L39" s="187"/>
      <c r="M39" s="187"/>
      <c r="P39" s="187"/>
      <c r="Q39" s="187"/>
    </row>
    <row r="40" customFormat="false" ht="12.75" hidden="false" customHeight="false" outlineLevel="0" collapsed="false">
      <c r="F40" s="187"/>
      <c r="G40" s="187"/>
      <c r="H40" s="187"/>
      <c r="I40" s="187"/>
      <c r="J40" s="187"/>
      <c r="K40" s="187"/>
      <c r="L40" s="187"/>
      <c r="N40" s="187"/>
      <c r="O40" s="187"/>
      <c r="P40" s="187"/>
    </row>
    <row r="41" customFormat="false" ht="12.75" hidden="false" customHeight="false" outlineLevel="0" collapsed="false">
      <c r="E41" s="187"/>
      <c r="F41" s="187"/>
      <c r="G41" s="187"/>
      <c r="I41" s="204"/>
      <c r="J41" s="204"/>
      <c r="K41" s="204"/>
      <c r="L41" s="204"/>
      <c r="M41" s="204"/>
      <c r="N41" s="204"/>
      <c r="O41" s="204"/>
      <c r="P41" s="204"/>
    </row>
    <row r="42" customFormat="false" ht="12.75" hidden="false" customHeight="false" outlineLevel="0" collapsed="false">
      <c r="E42" s="187"/>
      <c r="F42" s="187"/>
      <c r="G42" s="187"/>
      <c r="H42" s="187"/>
      <c r="I42" s="204"/>
      <c r="J42" s="204"/>
      <c r="K42" s="204"/>
      <c r="L42" s="204"/>
      <c r="M42" s="204"/>
      <c r="N42" s="204"/>
      <c r="O42" s="204"/>
      <c r="P42" s="204"/>
    </row>
    <row r="43" customFormat="false" ht="16.5" hidden="false" customHeight="false" outlineLevel="0" collapsed="false">
      <c r="A43" s="284" t="s">
        <v>232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204"/>
    </row>
    <row r="44" customFormat="false" ht="13.5" hidden="false" customHeight="false" outlineLevel="0" collapsed="false">
      <c r="B44" s="566" t="s">
        <v>281</v>
      </c>
      <c r="C44" s="567" t="s">
        <v>282</v>
      </c>
      <c r="E44" s="437" t="n">
        <v>2000</v>
      </c>
      <c r="F44" s="437" t="n">
        <f aca="false">G44-1</f>
        <v>2001</v>
      </c>
      <c r="G44" s="386" t="n">
        <f aca="false">Assumptions!D8</f>
        <v>2002</v>
      </c>
      <c r="H44" s="386" t="n">
        <f aca="false">G44+1</f>
        <v>2003</v>
      </c>
      <c r="I44" s="386" t="n">
        <f aca="false">H44+1</f>
        <v>2004</v>
      </c>
      <c r="J44" s="386" t="n">
        <f aca="false">I44+1</f>
        <v>2005</v>
      </c>
      <c r="K44" s="386" t="n">
        <f aca="false">J44+1</f>
        <v>2006</v>
      </c>
      <c r="L44" s="386" t="n">
        <f aca="false">K44+1</f>
        <v>2007</v>
      </c>
      <c r="M44" s="386" t="n">
        <f aca="false">L44+1</f>
        <v>2008</v>
      </c>
      <c r="N44" s="386" t="n">
        <f aca="false">M44+1</f>
        <v>2009</v>
      </c>
      <c r="O44" s="386" t="n">
        <f aca="false">N44+1</f>
        <v>2010</v>
      </c>
      <c r="P44" s="386" t="n">
        <f aca="false">O44+1</f>
        <v>2011</v>
      </c>
    </row>
    <row r="45" customFormat="false" ht="13.5" hidden="false" customHeight="false" outlineLevel="0" collapsed="false">
      <c r="A45" s="568" t="str">
        <f aca="false">A2</f>
        <v>Northern Border Partners</v>
      </c>
      <c r="B45" s="569" t="n">
        <f aca="false">Assumptions!C26</f>
        <v>1</v>
      </c>
      <c r="C45" s="570" t="n">
        <v>1</v>
      </c>
      <c r="D45" s="197"/>
      <c r="E45" s="416" t="n">
        <f aca="false">E50*$B$45</f>
        <v>339732</v>
      </c>
      <c r="F45" s="416" t="n">
        <f aca="false">F50*$B$45</f>
        <v>491411</v>
      </c>
      <c r="G45" s="416" t="n">
        <f aca="false">CHOOSE($C$45,G50,G53,G56)*$B$45+G46</f>
        <v>576963</v>
      </c>
      <c r="H45" s="416" t="n">
        <f aca="false">CHOOSE($C$45,H50,H53,H56)*$B$45+H46</f>
        <v>590878</v>
      </c>
      <c r="I45" s="416" t="n">
        <f aca="false">CHOOSE($C$45,I50,I53,I56)*$B$45+I46</f>
        <v>606875</v>
      </c>
      <c r="J45" s="416" t="n">
        <f aca="false">CHOOSE($C$45,J50,J53,J56)*$B$45+J46</f>
        <v>611153</v>
      </c>
      <c r="K45" s="416" t="n">
        <f aca="false">CHOOSE($C$45,K50,K53,K56)*$B$45+K46</f>
        <v>611153</v>
      </c>
      <c r="L45" s="416" t="n">
        <f aca="false">CHOOSE($C$45,L50,L53,L56)*$B$45+L46</f>
        <v>611153</v>
      </c>
      <c r="M45" s="416" t="n">
        <f aca="false">CHOOSE($C$45,M50,M53,M56)*$B$45+M46</f>
        <v>611153</v>
      </c>
      <c r="N45" s="416" t="n">
        <f aca="false">CHOOSE($C$45,N50,N53,N56)*$B$45+N46</f>
        <v>611153</v>
      </c>
      <c r="O45" s="416" t="n">
        <f aca="false">CHOOSE($C$45,O50,O53,O56)*$B$45+O46</f>
        <v>611153</v>
      </c>
      <c r="P45" s="416" t="n">
        <f aca="false">CHOOSE($C$45,P50,P53,P56)*$B$45+P46</f>
        <v>611153</v>
      </c>
    </row>
    <row r="46" customFormat="false" ht="12.75" hidden="false" customHeight="false" outlineLevel="0" collapsed="false">
      <c r="C46" s="571"/>
      <c r="F46" s="340" t="s">
        <v>283</v>
      </c>
      <c r="G46" s="187" t="n">
        <v>0</v>
      </c>
      <c r="H46" s="187" t="n">
        <v>0</v>
      </c>
      <c r="I46" s="187" t="n">
        <v>0</v>
      </c>
      <c r="J46" s="187" t="n">
        <v>0</v>
      </c>
      <c r="K46" s="187" t="n">
        <v>0</v>
      </c>
      <c r="L46" s="187" t="n">
        <v>0</v>
      </c>
      <c r="M46" s="187" t="n">
        <v>0</v>
      </c>
      <c r="N46" s="187" t="n">
        <v>0</v>
      </c>
      <c r="O46" s="187" t="n">
        <v>0</v>
      </c>
      <c r="P46" s="187" t="n">
        <v>0</v>
      </c>
    </row>
    <row r="47" customFormat="false" ht="12.75" hidden="false" customHeight="false" outlineLevel="0" collapsed="false">
      <c r="C47" s="572"/>
      <c r="D47" s="573"/>
      <c r="F47" s="340"/>
      <c r="G47" s="187"/>
      <c r="H47" s="187"/>
      <c r="I47" s="187"/>
      <c r="J47" s="187"/>
      <c r="K47" s="187"/>
      <c r="L47" s="187"/>
      <c r="M47" s="187"/>
      <c r="N47" s="187"/>
      <c r="O47" s="187"/>
      <c r="P47" s="187"/>
    </row>
    <row r="48" customFormat="false" ht="12.75" hidden="false" customHeight="false" outlineLevel="0" collapsed="false">
      <c r="A48" s="53" t="str">
        <f aca="false">Assumptions!B33</f>
        <v>1. Base Case</v>
      </c>
      <c r="C48" s="572" t="n">
        <v>1</v>
      </c>
    </row>
    <row r="49" customFormat="false" ht="15" hidden="false" customHeight="false" outlineLevel="0" collapsed="false">
      <c r="C49" s="572"/>
      <c r="D49" s="574"/>
      <c r="E49" s="575" t="n">
        <v>339732</v>
      </c>
      <c r="F49" s="576" t="n">
        <v>491411</v>
      </c>
      <c r="G49" s="576" t="n">
        <v>576963</v>
      </c>
      <c r="H49" s="576" t="n">
        <v>590878</v>
      </c>
      <c r="I49" s="576" t="n">
        <v>606875</v>
      </c>
      <c r="J49" s="576" t="n">
        <v>611153</v>
      </c>
      <c r="K49" s="339" t="n">
        <f aca="false">J49</f>
        <v>611153</v>
      </c>
      <c r="L49" s="339" t="n">
        <f aca="false">K49</f>
        <v>611153</v>
      </c>
      <c r="M49" s="339" t="n">
        <f aca="false">L49</f>
        <v>611153</v>
      </c>
      <c r="N49" s="339" t="n">
        <f aca="false">M49</f>
        <v>611153</v>
      </c>
      <c r="O49" s="339" t="n">
        <f aca="false">N49</f>
        <v>611153</v>
      </c>
      <c r="P49" s="339" t="n">
        <f aca="false">O49</f>
        <v>611153</v>
      </c>
    </row>
    <row r="50" customFormat="false" ht="12.75" hidden="false" customHeight="false" outlineLevel="0" collapsed="false">
      <c r="A50" s="318" t="s">
        <v>279</v>
      </c>
      <c r="B50" s="577" t="n">
        <v>1</v>
      </c>
      <c r="C50" s="572"/>
      <c r="D50" s="456"/>
      <c r="E50" s="187" t="n">
        <f aca="false">SUM(E49)*$B$50</f>
        <v>339732</v>
      </c>
      <c r="F50" s="187" t="n">
        <f aca="false">SUM(F49)*$B$50</f>
        <v>491411</v>
      </c>
      <c r="G50" s="187" t="n">
        <f aca="false">SUM(G49)*$B$50+G51</f>
        <v>576963</v>
      </c>
      <c r="H50" s="187" t="n">
        <f aca="false">SUM(H49)*$B$50+H51</f>
        <v>590878</v>
      </c>
      <c r="I50" s="187" t="n">
        <f aca="false">SUM(I49)*$B$50+I51</f>
        <v>606875</v>
      </c>
      <c r="J50" s="187" t="n">
        <f aca="false">SUM(J49)*$B$50+J51</f>
        <v>611153</v>
      </c>
      <c r="K50" s="187" t="n">
        <f aca="false">SUM(K49)*$B$50+K51</f>
        <v>611153</v>
      </c>
      <c r="L50" s="187" t="n">
        <f aca="false">SUM(L49)*$B$50+L51</f>
        <v>611153</v>
      </c>
      <c r="M50" s="187" t="n">
        <f aca="false">SUM(M49)*$B$50+M51</f>
        <v>611153</v>
      </c>
      <c r="N50" s="187" t="n">
        <f aca="false">SUM(N49)*$B$50+N51</f>
        <v>611153</v>
      </c>
      <c r="O50" s="187" t="n">
        <f aca="false">SUM(O49)*$B$50+O51</f>
        <v>611153</v>
      </c>
      <c r="P50" s="187" t="n">
        <f aca="false">SUM(P49)*$B$50+P51</f>
        <v>611153</v>
      </c>
    </row>
    <row r="51" customFormat="false" ht="12.75" hidden="false" customHeight="false" outlineLevel="0" collapsed="false">
      <c r="C51" s="572"/>
      <c r="F51" s="340" t="s">
        <v>283</v>
      </c>
      <c r="G51" s="187" t="n">
        <v>0</v>
      </c>
      <c r="H51" s="187" t="n">
        <v>0</v>
      </c>
      <c r="I51" s="187" t="n">
        <f aca="false">H51</f>
        <v>0</v>
      </c>
      <c r="J51" s="187" t="n">
        <f aca="false">I51</f>
        <v>0</v>
      </c>
      <c r="K51" s="187" t="n">
        <f aca="false">J51</f>
        <v>0</v>
      </c>
      <c r="L51" s="187" t="n">
        <f aca="false">K51</f>
        <v>0</v>
      </c>
      <c r="M51" s="187" t="n">
        <f aca="false">L51</f>
        <v>0</v>
      </c>
      <c r="N51" s="187" t="n">
        <f aca="false">M51</f>
        <v>0</v>
      </c>
      <c r="O51" s="187" t="n">
        <f aca="false">N51</f>
        <v>0</v>
      </c>
      <c r="P51" s="187" t="n">
        <f aca="false">O51</f>
        <v>0</v>
      </c>
    </row>
    <row r="52" customFormat="false" ht="12.75" hidden="true" customHeight="false" outlineLevel="1" collapsed="false">
      <c r="C52" s="572"/>
    </row>
    <row r="53" customFormat="false" ht="12.75" hidden="true" customHeight="false" outlineLevel="1" collapsed="false">
      <c r="A53" s="53" t="str">
        <f aca="false">Assumptions!B34</f>
        <v>2. Optimistic</v>
      </c>
      <c r="B53" s="577" t="n">
        <v>1.1</v>
      </c>
      <c r="C53" s="572" t="n">
        <v>2</v>
      </c>
      <c r="D53" s="456"/>
      <c r="F53" s="508" t="n">
        <v>376548</v>
      </c>
      <c r="G53" s="578" t="n">
        <v>416684</v>
      </c>
      <c r="H53" s="578" t="n">
        <v>430053</v>
      </c>
      <c r="I53" s="578" t="n">
        <v>436102</v>
      </c>
      <c r="J53" s="578" t="n">
        <v>434676</v>
      </c>
      <c r="K53" s="185" t="n">
        <f aca="false">J53*$B$53+K54</f>
        <v>478143.6</v>
      </c>
      <c r="L53" s="185" t="n">
        <f aca="false">K53*$B$53+L54</f>
        <v>525957.96</v>
      </c>
      <c r="M53" s="185" t="n">
        <f aca="false">L53*$B$53+M54</f>
        <v>578553.756</v>
      </c>
      <c r="N53" s="185" t="n">
        <f aca="false">M53*$B$53+N54</f>
        <v>636409.1316</v>
      </c>
      <c r="O53" s="185" t="n">
        <f aca="false">N53*$B$53+O54</f>
        <v>700050.04476</v>
      </c>
      <c r="P53" s="185" t="n">
        <f aca="false">O53*$B$53+P54</f>
        <v>770055.049236</v>
      </c>
    </row>
    <row r="54" customFormat="false" ht="12.75" hidden="true" customHeight="false" outlineLevel="1" collapsed="false">
      <c r="C54" s="572"/>
      <c r="F54" s="340" t="s">
        <v>283</v>
      </c>
      <c r="G54" s="187" t="n">
        <v>0</v>
      </c>
      <c r="H54" s="187" t="n">
        <v>0</v>
      </c>
      <c r="I54" s="187" t="n">
        <f aca="false">H54</f>
        <v>0</v>
      </c>
      <c r="J54" s="187" t="n">
        <f aca="false">I54</f>
        <v>0</v>
      </c>
      <c r="K54" s="187" t="n">
        <f aca="false">J54</f>
        <v>0</v>
      </c>
      <c r="L54" s="187" t="n">
        <f aca="false">K54</f>
        <v>0</v>
      </c>
      <c r="M54" s="187" t="n">
        <f aca="false">L54</f>
        <v>0</v>
      </c>
      <c r="N54" s="187" t="n">
        <f aca="false">M54</f>
        <v>0</v>
      </c>
      <c r="O54" s="187" t="n">
        <f aca="false">N54</f>
        <v>0</v>
      </c>
      <c r="P54" s="187" t="n">
        <f aca="false">O54</f>
        <v>0</v>
      </c>
    </row>
    <row r="55" customFormat="false" ht="12.75" hidden="true" customHeight="false" outlineLevel="1" collapsed="false">
      <c r="C55" s="572"/>
    </row>
    <row r="56" customFormat="false" ht="12.75" hidden="true" customHeight="false" outlineLevel="1" collapsed="false">
      <c r="A56" s="53" t="str">
        <f aca="false">Assumptions!B35</f>
        <v>3. Pessimistic</v>
      </c>
      <c r="B56" s="577" t="n">
        <v>1</v>
      </c>
      <c r="C56" s="572" t="n">
        <v>3</v>
      </c>
      <c r="D56" s="456"/>
      <c r="F56" s="187" t="n">
        <f aca="false">F50</f>
        <v>491411</v>
      </c>
      <c r="G56" s="185" t="n">
        <f aca="false">G50</f>
        <v>576963</v>
      </c>
      <c r="H56" s="185" t="n">
        <f aca="false">H50</f>
        <v>590878</v>
      </c>
      <c r="I56" s="185" t="n">
        <f aca="false">H56*$B$56+I57</f>
        <v>590878</v>
      </c>
      <c r="J56" s="185" t="n">
        <f aca="false">I56*$B$56+J57</f>
        <v>590878</v>
      </c>
      <c r="K56" s="185" t="n">
        <f aca="false">J56*$B$56+K57</f>
        <v>590878</v>
      </c>
      <c r="L56" s="185" t="n">
        <f aca="false">K56*$B$56+L57</f>
        <v>590878</v>
      </c>
      <c r="M56" s="185" t="n">
        <f aca="false">L56*$B$56+M57</f>
        <v>590878</v>
      </c>
      <c r="N56" s="185" t="n">
        <f aca="false">M56*$B$56+N57</f>
        <v>590878</v>
      </c>
      <c r="O56" s="185" t="n">
        <f aca="false">N56*$B$56+O57</f>
        <v>590878</v>
      </c>
      <c r="P56" s="185" t="n">
        <f aca="false">O56*$B$56+P57</f>
        <v>590878</v>
      </c>
    </row>
    <row r="57" customFormat="false" ht="13.5" hidden="true" customHeight="false" outlineLevel="1" collapsed="false">
      <c r="C57" s="579"/>
      <c r="F57" s="340" t="s">
        <v>283</v>
      </c>
      <c r="G57" s="187" t="n">
        <v>0</v>
      </c>
      <c r="H57" s="187" t="n">
        <v>0</v>
      </c>
      <c r="I57" s="187" t="n">
        <f aca="false">H57</f>
        <v>0</v>
      </c>
      <c r="J57" s="187" t="n">
        <f aca="false">I57</f>
        <v>0</v>
      </c>
      <c r="K57" s="187" t="n">
        <f aca="false">J57</f>
        <v>0</v>
      </c>
      <c r="L57" s="187" t="n">
        <f aca="false">K57</f>
        <v>0</v>
      </c>
      <c r="M57" s="187" t="n">
        <f aca="false">L57</f>
        <v>0</v>
      </c>
      <c r="N57" s="187" t="n">
        <f aca="false">M57</f>
        <v>0</v>
      </c>
      <c r="O57" s="187" t="n">
        <f aca="false">N57</f>
        <v>0</v>
      </c>
      <c r="P57" s="187" t="n">
        <f aca="false">O57</f>
        <v>0</v>
      </c>
    </row>
    <row r="58" customFormat="false" ht="12.75" hidden="true" customHeight="false" outlineLevel="1" collapsed="false"/>
    <row r="60" customFormat="false" ht="16.5" hidden="false" customHeight="false" outlineLevel="0" collapsed="false">
      <c r="A60" s="284" t="s">
        <v>284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</row>
    <row r="61" customFormat="false" ht="13.5" hidden="false" customHeight="false" outlineLevel="0" collapsed="false">
      <c r="B61" s="566" t="s">
        <v>281</v>
      </c>
      <c r="C61" s="567" t="s">
        <v>282</v>
      </c>
      <c r="F61" s="437" t="n">
        <f aca="false">G61-1</f>
        <v>2001</v>
      </c>
      <c r="G61" s="386" t="n">
        <f aca="false">Assumptions!D8</f>
        <v>2002</v>
      </c>
      <c r="H61" s="386" t="n">
        <f aca="false">G61+1</f>
        <v>2003</v>
      </c>
      <c r="I61" s="386" t="n">
        <f aca="false">H61+1</f>
        <v>2004</v>
      </c>
      <c r="J61" s="386" t="n">
        <f aca="false">I61+1</f>
        <v>2005</v>
      </c>
      <c r="K61" s="386" t="n">
        <f aca="false">J61+1</f>
        <v>2006</v>
      </c>
      <c r="L61" s="386" t="n">
        <f aca="false">K61+1</f>
        <v>2007</v>
      </c>
      <c r="M61" s="386" t="n">
        <f aca="false">L61+1</f>
        <v>2008</v>
      </c>
      <c r="N61" s="386" t="n">
        <f aca="false">M61+1</f>
        <v>2009</v>
      </c>
      <c r="O61" s="386" t="n">
        <f aca="false">N61+1</f>
        <v>2010</v>
      </c>
      <c r="P61" s="386" t="n">
        <f aca="false">O61+1</f>
        <v>2011</v>
      </c>
    </row>
    <row r="62" customFormat="false" ht="13.5" hidden="false" customHeight="false" outlineLevel="0" collapsed="false">
      <c r="A62" s="568" t="str">
        <f aca="false">A2</f>
        <v>Northern Border Partners</v>
      </c>
      <c r="B62" s="569" t="n">
        <f aca="false">Assumptions!C26</f>
        <v>1</v>
      </c>
      <c r="C62" s="580" t="n">
        <v>1</v>
      </c>
      <c r="D62" s="197"/>
      <c r="E62" s="581" t="n">
        <f aca="false">E68*$B$62</f>
        <v>90731</v>
      </c>
      <c r="F62" s="581" t="n">
        <f aca="false">F68*$B$62</f>
        <v>182081</v>
      </c>
      <c r="G62" s="416" t="n">
        <f aca="false">CHOOSE($C$62,G68,G71,G74)*$B$62+G63</f>
        <v>234850</v>
      </c>
      <c r="H62" s="416" t="n">
        <f aca="false">CHOOSE($C$62,H68,H71,H74)*$B$62+H63</f>
        <v>243830</v>
      </c>
      <c r="I62" s="416" t="n">
        <f aca="false">CHOOSE($C$62,I68,I71,I74)*$B$62+I63</f>
        <v>246767</v>
      </c>
      <c r="J62" s="416" t="n">
        <f aca="false">CHOOSE($C$62,J68,J71,J74)*$B$62+J63</f>
        <v>245757</v>
      </c>
      <c r="K62" s="416" t="n">
        <f aca="false">CHOOSE($C$62,K68,K71,K74)*$B$62+K63</f>
        <v>245757</v>
      </c>
      <c r="L62" s="416" t="n">
        <f aca="false">CHOOSE($C$62,L68,L71,L74)*$B$62+L63</f>
        <v>245757</v>
      </c>
      <c r="M62" s="416" t="n">
        <f aca="false">CHOOSE($C$62,M68,M71,M74)*$B$62+M63</f>
        <v>245757</v>
      </c>
      <c r="N62" s="416" t="n">
        <f aca="false">CHOOSE($C$62,N68,N71,N74)*$B$62+N63</f>
        <v>245757</v>
      </c>
      <c r="O62" s="416" t="n">
        <f aca="false">CHOOSE($C$62,O68,O71,O74)*$B$62+O63</f>
        <v>245757</v>
      </c>
      <c r="P62" s="416" t="n">
        <f aca="false">CHOOSE($C$62,P68,P71,P74)*$B$62+P63</f>
        <v>245757</v>
      </c>
    </row>
    <row r="63" customFormat="false" ht="12.75" hidden="false" customHeight="false" outlineLevel="0" collapsed="false">
      <c r="C63" s="582"/>
      <c r="F63" s="340" t="s">
        <v>283</v>
      </c>
      <c r="G63" s="187" t="n">
        <v>0</v>
      </c>
      <c r="H63" s="187" t="n">
        <v>0</v>
      </c>
      <c r="I63" s="187" t="n">
        <v>0</v>
      </c>
      <c r="J63" s="187" t="n">
        <v>0</v>
      </c>
      <c r="K63" s="187" t="n">
        <v>0</v>
      </c>
      <c r="L63" s="187" t="n">
        <v>0</v>
      </c>
      <c r="M63" s="187" t="n">
        <v>0</v>
      </c>
      <c r="N63" s="187" t="n">
        <v>0</v>
      </c>
      <c r="O63" s="187" t="n">
        <v>0</v>
      </c>
      <c r="P63" s="187" t="n">
        <v>0</v>
      </c>
    </row>
    <row r="64" customFormat="false" ht="12.75" hidden="false" customHeight="false" outlineLevel="0" collapsed="false">
      <c r="C64" s="583"/>
      <c r="D64" s="573"/>
      <c r="E64" s="584"/>
    </row>
    <row r="65" customFormat="false" ht="12.75" hidden="false" customHeight="false" outlineLevel="0" collapsed="false">
      <c r="A65" s="53" t="str">
        <f aca="false">Assumptions!B39</f>
        <v>1. Base Case</v>
      </c>
      <c r="C65" s="583"/>
    </row>
    <row r="66" customFormat="false" ht="12.75" hidden="false" customHeight="false" outlineLevel="0" collapsed="false">
      <c r="C66" s="583"/>
    </row>
    <row r="67" customFormat="false" ht="15" hidden="false" customHeight="false" outlineLevel="0" collapsed="false">
      <c r="C67" s="583"/>
      <c r="D67" s="456"/>
      <c r="E67" s="576" t="n">
        <f aca="false">62097+28634</f>
        <v>90731</v>
      </c>
      <c r="F67" s="576" t="n">
        <v>182081</v>
      </c>
      <c r="G67" s="576" t="n">
        <v>234850</v>
      </c>
      <c r="H67" s="585" t="n">
        <v>243830</v>
      </c>
      <c r="I67" s="585" t="n">
        <v>246767</v>
      </c>
      <c r="J67" s="585" t="n">
        <v>245757</v>
      </c>
      <c r="K67" s="586" t="n">
        <f aca="false">J67</f>
        <v>245757</v>
      </c>
      <c r="L67" s="586" t="n">
        <f aca="false">K67</f>
        <v>245757</v>
      </c>
      <c r="M67" s="586" t="n">
        <f aca="false">L67</f>
        <v>245757</v>
      </c>
      <c r="N67" s="586" t="n">
        <f aca="false">M67</f>
        <v>245757</v>
      </c>
      <c r="O67" s="586" t="n">
        <f aca="false">N67</f>
        <v>245757</v>
      </c>
      <c r="P67" s="586" t="n">
        <f aca="false">O67</f>
        <v>245757</v>
      </c>
    </row>
    <row r="68" customFormat="false" ht="12.75" hidden="false" customHeight="false" outlineLevel="0" collapsed="false">
      <c r="A68" s="318" t="s">
        <v>279</v>
      </c>
      <c r="B68" s="587" t="n">
        <v>1</v>
      </c>
      <c r="C68" s="572" t="n">
        <v>1</v>
      </c>
      <c r="D68" s="456"/>
      <c r="E68" s="588" t="n">
        <f aca="false">SUM(E67)</f>
        <v>90731</v>
      </c>
      <c r="F68" s="588" t="n">
        <f aca="false">SUM(F67)</f>
        <v>182081</v>
      </c>
      <c r="G68" s="588" t="n">
        <f aca="false">SUM(G67)*$B$68+G69</f>
        <v>234850</v>
      </c>
      <c r="H68" s="588" t="n">
        <f aca="false">SUM(H67)*$B$68+H69</f>
        <v>243830</v>
      </c>
      <c r="I68" s="588" t="n">
        <f aca="false">SUM(I67)*$B$68+I69</f>
        <v>246767</v>
      </c>
      <c r="J68" s="588" t="n">
        <f aca="false">SUM(J67)*$B$68+J69</f>
        <v>245757</v>
      </c>
      <c r="K68" s="588" t="n">
        <f aca="false">SUM(K67)*$B$68+K69</f>
        <v>245757</v>
      </c>
      <c r="L68" s="588" t="n">
        <f aca="false">SUM(L67)*$B$68+L69</f>
        <v>245757</v>
      </c>
      <c r="M68" s="588" t="n">
        <f aca="false">SUM(M67)*$B$68+M69</f>
        <v>245757</v>
      </c>
      <c r="N68" s="588" t="n">
        <f aca="false">SUM(N67)*$B$68+N69</f>
        <v>245757</v>
      </c>
      <c r="O68" s="588" t="n">
        <f aca="false">SUM(O67)*$B$68+O69</f>
        <v>245757</v>
      </c>
      <c r="P68" s="588" t="n">
        <f aca="false">SUM(P67)*$B$68+P69</f>
        <v>245757</v>
      </c>
    </row>
    <row r="69" customFormat="false" ht="12.75" hidden="false" customHeight="false" outlineLevel="0" collapsed="false">
      <c r="C69" s="583"/>
      <c r="F69" s="340" t="s">
        <v>283</v>
      </c>
      <c r="G69" s="187" t="n">
        <v>0</v>
      </c>
      <c r="H69" s="187" t="n">
        <v>0</v>
      </c>
      <c r="I69" s="187" t="n">
        <v>0</v>
      </c>
      <c r="J69" s="187" t="n">
        <v>0</v>
      </c>
      <c r="K69" s="187" t="n">
        <v>0</v>
      </c>
      <c r="L69" s="187" t="n">
        <v>0</v>
      </c>
      <c r="M69" s="187" t="n">
        <v>0</v>
      </c>
      <c r="N69" s="187" t="n">
        <v>0</v>
      </c>
      <c r="O69" s="187" t="n">
        <v>0</v>
      </c>
      <c r="P69" s="187" t="n">
        <v>0</v>
      </c>
    </row>
    <row r="70" customFormat="false" ht="12.75" hidden="true" customHeight="false" outlineLevel="1" collapsed="false">
      <c r="C70" s="583"/>
    </row>
    <row r="71" customFormat="false" ht="12.75" hidden="true" customHeight="false" outlineLevel="1" collapsed="false">
      <c r="A71" s="53" t="str">
        <f aca="false">Assumptions!B40</f>
        <v>2. Optimistic</v>
      </c>
      <c r="B71" s="587" t="n">
        <v>1</v>
      </c>
      <c r="C71" s="572" t="n">
        <v>2</v>
      </c>
      <c r="D71" s="456"/>
      <c r="F71" s="589" t="n">
        <v>104114</v>
      </c>
      <c r="G71" s="578" t="n">
        <v>129842</v>
      </c>
      <c r="H71" s="578" t="n">
        <v>143404</v>
      </c>
      <c r="I71" s="578" t="n">
        <v>145938</v>
      </c>
      <c r="J71" s="578" t="n">
        <v>144533</v>
      </c>
      <c r="K71" s="185" t="n">
        <f aca="false">J71*$B$71+K72</f>
        <v>144533</v>
      </c>
      <c r="L71" s="185" t="n">
        <f aca="false">K71*$B$71+L72</f>
        <v>144533</v>
      </c>
      <c r="M71" s="185" t="n">
        <f aca="false">L71*$B$71+M72</f>
        <v>144533</v>
      </c>
      <c r="N71" s="185" t="n">
        <f aca="false">M71*$B$71+N72</f>
        <v>144533</v>
      </c>
      <c r="O71" s="185" t="n">
        <f aca="false">N71*$B$71+O72</f>
        <v>144533</v>
      </c>
      <c r="P71" s="185" t="n">
        <f aca="false">O71*$B$71+P72</f>
        <v>144533</v>
      </c>
    </row>
    <row r="72" customFormat="false" ht="12.75" hidden="true" customHeight="false" outlineLevel="1" collapsed="false">
      <c r="C72" s="590"/>
      <c r="F72" s="340" t="s">
        <v>283</v>
      </c>
      <c r="G72" s="187" t="n">
        <v>0</v>
      </c>
      <c r="H72" s="187" t="n">
        <v>0</v>
      </c>
      <c r="I72" s="187" t="n">
        <f aca="false">H72</f>
        <v>0</v>
      </c>
      <c r="J72" s="187" t="n">
        <f aca="false">I72</f>
        <v>0</v>
      </c>
      <c r="K72" s="187" t="n">
        <f aca="false">J72</f>
        <v>0</v>
      </c>
      <c r="L72" s="187" t="n">
        <f aca="false">K72</f>
        <v>0</v>
      </c>
      <c r="M72" s="187" t="n">
        <f aca="false">L72</f>
        <v>0</v>
      </c>
      <c r="N72" s="187" t="n">
        <f aca="false">M72</f>
        <v>0</v>
      </c>
      <c r="O72" s="187" t="n">
        <f aca="false">N72</f>
        <v>0</v>
      </c>
      <c r="P72" s="187" t="n">
        <f aca="false">O72</f>
        <v>0</v>
      </c>
    </row>
    <row r="73" customFormat="false" ht="12.75" hidden="true" customHeight="false" outlineLevel="1" collapsed="false">
      <c r="C73" s="590"/>
    </row>
    <row r="74" customFormat="false" ht="12.75" hidden="true" customHeight="false" outlineLevel="1" collapsed="false">
      <c r="A74" s="53" t="str">
        <f aca="false">Assumptions!B41</f>
        <v>3. Pessimistic</v>
      </c>
      <c r="B74" s="587" t="n">
        <v>1.1</v>
      </c>
      <c r="C74" s="572" t="n">
        <v>3</v>
      </c>
      <c r="D74" s="456"/>
      <c r="F74" s="588" t="n">
        <f aca="false">F68</f>
        <v>182081</v>
      </c>
      <c r="G74" s="185" t="n">
        <f aca="false">G68</f>
        <v>234850</v>
      </c>
      <c r="H74" s="185" t="n">
        <f aca="false">H68</f>
        <v>243830</v>
      </c>
      <c r="I74" s="185" t="n">
        <f aca="false">H74*$B$74+I75</f>
        <v>268213</v>
      </c>
      <c r="J74" s="185" t="n">
        <f aca="false">I74*$B$74+J75</f>
        <v>295034.3</v>
      </c>
      <c r="K74" s="185" t="n">
        <f aca="false">J74*$B$74+K75</f>
        <v>324537.73</v>
      </c>
      <c r="L74" s="185" t="n">
        <f aca="false">K74*$B$74+L75</f>
        <v>356991.503</v>
      </c>
      <c r="M74" s="185" t="n">
        <f aca="false">L74*$B$74+M75</f>
        <v>392690.6533</v>
      </c>
      <c r="N74" s="185" t="n">
        <f aca="false">M74*$B$74+N75</f>
        <v>431959.71863</v>
      </c>
      <c r="O74" s="185" t="n">
        <f aca="false">N74*$B$74+O75</f>
        <v>475155.690493</v>
      </c>
      <c r="P74" s="185" t="n">
        <f aca="false">O74*$B$74+P75</f>
        <v>522671.2595423</v>
      </c>
    </row>
    <row r="75" customFormat="false" ht="13.5" hidden="true" customHeight="false" outlineLevel="1" collapsed="false">
      <c r="C75" s="579"/>
      <c r="F75" s="340" t="s">
        <v>283</v>
      </c>
      <c r="G75" s="187" t="n">
        <v>0</v>
      </c>
      <c r="H75" s="187" t="n">
        <v>0</v>
      </c>
      <c r="I75" s="187" t="n">
        <f aca="false">H75</f>
        <v>0</v>
      </c>
      <c r="J75" s="187" t="n">
        <f aca="false">I75</f>
        <v>0</v>
      </c>
      <c r="K75" s="187" t="n">
        <f aca="false">J75</f>
        <v>0</v>
      </c>
      <c r="L75" s="187" t="n">
        <f aca="false">K75</f>
        <v>0</v>
      </c>
      <c r="M75" s="187" t="n">
        <f aca="false">L75</f>
        <v>0</v>
      </c>
      <c r="N75" s="187" t="n">
        <f aca="false">M75</f>
        <v>0</v>
      </c>
      <c r="O75" s="187" t="n">
        <f aca="false">N75</f>
        <v>0</v>
      </c>
      <c r="P75" s="187" t="n">
        <f aca="false">O75</f>
        <v>0</v>
      </c>
    </row>
    <row r="76" customFormat="false" ht="12.75" hidden="false" customHeight="false" outlineLevel="0" collapsed="false">
      <c r="C76" s="16"/>
      <c r="F76" s="340"/>
      <c r="G76" s="187"/>
      <c r="H76" s="187"/>
      <c r="I76" s="187"/>
      <c r="J76" s="187"/>
      <c r="K76" s="187"/>
      <c r="L76" s="187"/>
      <c r="M76" s="187"/>
      <c r="N76" s="187"/>
      <c r="O76" s="187"/>
      <c r="P76" s="187"/>
    </row>
    <row r="77" customFormat="false" ht="15.75" hidden="false" customHeight="false" outlineLevel="0" collapsed="false">
      <c r="A77" s="284" t="s">
        <v>209</v>
      </c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</row>
    <row r="78" customFormat="false" ht="12.75" hidden="false" customHeight="false" outlineLevel="0" collapsed="false">
      <c r="A78" s="0" t="s">
        <v>285</v>
      </c>
      <c r="C78" s="16"/>
      <c r="F78" s="340"/>
      <c r="G78" s="187"/>
      <c r="H78" s="187"/>
      <c r="I78" s="187"/>
      <c r="J78" s="187"/>
      <c r="K78" s="187"/>
      <c r="L78" s="187"/>
      <c r="M78" s="187"/>
      <c r="N78" s="187"/>
      <c r="O78" s="187"/>
      <c r="P78" s="187"/>
    </row>
    <row r="79" customFormat="false" ht="12.75" hidden="false" customHeight="false" outlineLevel="0" collapsed="false">
      <c r="A79" s="0" t="s">
        <v>286</v>
      </c>
      <c r="C79" s="16"/>
      <c r="F79" s="340"/>
      <c r="G79" s="187"/>
      <c r="H79" s="187"/>
      <c r="I79" s="187"/>
      <c r="J79" s="187"/>
      <c r="K79" s="187"/>
      <c r="L79" s="187"/>
      <c r="M79" s="187"/>
      <c r="N79" s="187"/>
      <c r="O79" s="187"/>
      <c r="P79" s="187"/>
    </row>
    <row r="80" customFormat="false" ht="12.75" hidden="false" customHeight="false" outlineLevel="0" collapsed="false">
      <c r="A80" s="308" t="s">
        <v>279</v>
      </c>
      <c r="E80" s="508" t="n">
        <v>19721</v>
      </c>
      <c r="F80" s="589" t="n">
        <v>27594</v>
      </c>
      <c r="G80" s="578" t="n">
        <v>87226</v>
      </c>
      <c r="H80" s="578" t="n">
        <v>98479</v>
      </c>
      <c r="I80" s="578" t="n">
        <v>59635</v>
      </c>
      <c r="J80" s="578" t="n">
        <v>40949</v>
      </c>
      <c r="K80" s="185" t="n">
        <f aca="false">J80</f>
        <v>40949</v>
      </c>
      <c r="L80" s="185" t="n">
        <f aca="false">K80</f>
        <v>40949</v>
      </c>
      <c r="M80" s="185" t="n">
        <f aca="false">L80</f>
        <v>40949</v>
      </c>
      <c r="N80" s="185" t="n">
        <f aca="false">M80</f>
        <v>40949</v>
      </c>
      <c r="O80" s="185" t="n">
        <f aca="false">N80</f>
        <v>40949</v>
      </c>
      <c r="P80" s="185" t="n">
        <f aca="false">O80</f>
        <v>40949</v>
      </c>
    </row>
    <row r="81" customFormat="false" ht="12.75" hidden="false" customHeight="false" outlineLevel="0" collapsed="false">
      <c r="A81" s="308"/>
    </row>
    <row r="82" customFormat="false" ht="12.75" hidden="false" customHeight="false" outlineLevel="0" collapsed="false">
      <c r="A82" s="308"/>
      <c r="E82" s="297" t="n">
        <v>2000</v>
      </c>
      <c r="F82" s="297" t="n">
        <v>2001</v>
      </c>
      <c r="G82" s="298" t="n">
        <v>2002</v>
      </c>
      <c r="H82" s="298" t="n">
        <v>2003</v>
      </c>
      <c r="I82" s="298" t="n">
        <v>2004</v>
      </c>
      <c r="J82" s="298" t="n">
        <v>2005</v>
      </c>
      <c r="K82" s="298" t="n">
        <v>2006</v>
      </c>
      <c r="L82" s="299" t="n">
        <v>2007</v>
      </c>
      <c r="M82" s="299" t="n">
        <v>2008</v>
      </c>
      <c r="N82" s="299" t="n">
        <v>2009</v>
      </c>
      <c r="O82" s="299" t="n">
        <v>2010</v>
      </c>
      <c r="P82" s="300" t="n">
        <v>2011</v>
      </c>
    </row>
    <row r="83" customFormat="false" ht="15.75" hidden="false" customHeight="false" outlineLevel="0" collapsed="false">
      <c r="A83" s="284" t="s">
        <v>287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</row>
    <row r="84" customFormat="false" ht="12.75" hidden="false" customHeight="false" outlineLevel="0" collapsed="false">
      <c r="A84" s="475" t="s">
        <v>264</v>
      </c>
      <c r="B84" s="146"/>
      <c r="C84" s="220" t="n">
        <v>2454918</v>
      </c>
      <c r="D84" s="187"/>
      <c r="E84" s="442"/>
      <c r="F84" s="530" t="n">
        <f aca="false">Assumptions!G26</f>
        <v>0.0225</v>
      </c>
      <c r="G84" s="531" t="n">
        <f aca="false">F84</f>
        <v>0.0225</v>
      </c>
      <c r="H84" s="531" t="n">
        <f aca="false">G84</f>
        <v>0.0225</v>
      </c>
      <c r="I84" s="531" t="n">
        <f aca="false">H84</f>
        <v>0.0225</v>
      </c>
      <c r="J84" s="531" t="n">
        <f aca="false">I84</f>
        <v>0.0225</v>
      </c>
      <c r="K84" s="531" t="n">
        <f aca="false">J84</f>
        <v>0.0225</v>
      </c>
      <c r="L84" s="531" t="n">
        <f aca="false">K84</f>
        <v>0.0225</v>
      </c>
      <c r="M84" s="531" t="n">
        <f aca="false">L84</f>
        <v>0.0225</v>
      </c>
      <c r="N84" s="531" t="n">
        <f aca="false">M84</f>
        <v>0.0225</v>
      </c>
      <c r="O84" s="531" t="n">
        <f aca="false">N84</f>
        <v>0.0225</v>
      </c>
      <c r="P84" s="532" t="n">
        <f aca="false">O84</f>
        <v>0.0225</v>
      </c>
    </row>
    <row r="85" customFormat="false" ht="12.75" hidden="false" customHeight="false" outlineLevel="0" collapsed="false">
      <c r="A85" s="187" t="s">
        <v>265</v>
      </c>
      <c r="C85" s="70"/>
      <c r="D85" s="70"/>
      <c r="E85" s="442"/>
      <c r="F85" s="187" t="n">
        <f aca="false">C84*F84</f>
        <v>55235.655</v>
      </c>
      <c r="G85" s="192" t="n">
        <f aca="false">F85</f>
        <v>55235.655</v>
      </c>
      <c r="H85" s="192" t="n">
        <f aca="false">+G85</f>
        <v>55235.655</v>
      </c>
      <c r="I85" s="192" t="n">
        <f aca="false">+H85</f>
        <v>55235.655</v>
      </c>
      <c r="J85" s="192" t="n">
        <f aca="false">+I85</f>
        <v>55235.655</v>
      </c>
      <c r="K85" s="192" t="n">
        <f aca="false">+J85</f>
        <v>55235.655</v>
      </c>
      <c r="L85" s="192" t="n">
        <f aca="false">+K85</f>
        <v>55235.655</v>
      </c>
      <c r="M85" s="192" t="n">
        <f aca="false">+L85</f>
        <v>55235.655</v>
      </c>
      <c r="N85" s="192" t="n">
        <f aca="false">+M85</f>
        <v>55235.655</v>
      </c>
      <c r="O85" s="192" t="n">
        <f aca="false">+N85</f>
        <v>55235.655</v>
      </c>
      <c r="P85" s="192" t="n">
        <f aca="false">+O85</f>
        <v>55235.655</v>
      </c>
    </row>
    <row r="86" customFormat="false" ht="15" hidden="false" customHeight="false" outlineLevel="0" collapsed="false">
      <c r="A86" s="187" t="s">
        <v>266</v>
      </c>
      <c r="E86" s="442"/>
      <c r="F86" s="339" t="n">
        <f aca="false">F108</f>
        <v>443.7225</v>
      </c>
      <c r="G86" s="339" t="n">
        <f aca="false">G108</f>
        <v>1064.5875</v>
      </c>
      <c r="H86" s="339" t="n">
        <f aca="false">H108</f>
        <v>3027.1725</v>
      </c>
      <c r="I86" s="339" t="n">
        <f aca="false">I108</f>
        <v>5242.95</v>
      </c>
      <c r="J86" s="339" t="n">
        <f aca="false">J108</f>
        <v>6584.7375</v>
      </c>
      <c r="K86" s="339" t="n">
        <f aca="false">K108</f>
        <v>7506.09</v>
      </c>
      <c r="L86" s="339" t="n">
        <f aca="false">L108</f>
        <v>8427.4425</v>
      </c>
      <c r="M86" s="339" t="n">
        <f aca="false">M108</f>
        <v>9348.795</v>
      </c>
      <c r="N86" s="339" t="n">
        <f aca="false">N108</f>
        <v>10270.1475</v>
      </c>
      <c r="O86" s="339" t="n">
        <f aca="false">O108</f>
        <v>11191.5</v>
      </c>
      <c r="P86" s="339" t="n">
        <f aca="false">P108</f>
        <v>12112.8525</v>
      </c>
    </row>
    <row r="87" customFormat="false" ht="12.75" hidden="false" customHeight="false" outlineLevel="0" collapsed="false">
      <c r="A87" s="528" t="s">
        <v>279</v>
      </c>
      <c r="B87" s="386"/>
      <c r="C87" s="591" t="n">
        <v>43899</v>
      </c>
      <c r="D87" s="591" t="n">
        <v>54895</v>
      </c>
      <c r="E87" s="592" t="n">
        <v>61054</v>
      </c>
      <c r="F87" s="348" t="n">
        <f aca="false">SUM(F85:F86)</f>
        <v>55679.3775</v>
      </c>
      <c r="G87" s="348" t="n">
        <f aca="false">SUM(G85:G86)</f>
        <v>56300.2425</v>
      </c>
      <c r="H87" s="348" t="n">
        <f aca="false">SUM(H85:H86)</f>
        <v>58262.8275</v>
      </c>
      <c r="I87" s="348" t="n">
        <f aca="false">SUM(I85:I86)</f>
        <v>60478.605</v>
      </c>
      <c r="J87" s="348" t="n">
        <f aca="false">SUM(J85:J86)</f>
        <v>61820.3925</v>
      </c>
      <c r="K87" s="348" t="n">
        <f aca="false">SUM(K85:K86)</f>
        <v>62741.745</v>
      </c>
      <c r="L87" s="348" t="n">
        <f aca="false">SUM(L85:L86)</f>
        <v>63663.0975</v>
      </c>
      <c r="M87" s="348" t="n">
        <f aca="false">SUM(M85:M86)</f>
        <v>64584.45</v>
      </c>
      <c r="N87" s="348" t="n">
        <f aca="false">SUM(N85:N86)</f>
        <v>65505.8025</v>
      </c>
      <c r="O87" s="348" t="n">
        <f aca="false">SUM(O85:O86)</f>
        <v>66427.155</v>
      </c>
      <c r="P87" s="348" t="n">
        <f aca="false">SUM(P85:P86)</f>
        <v>67348.5075</v>
      </c>
    </row>
    <row r="88" customFormat="false" ht="12.75" hidden="false" customHeight="false" outlineLevel="0" collapsed="false">
      <c r="A88" s="187"/>
      <c r="E88" s="442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</row>
    <row r="89" customFormat="false" ht="12.75" hidden="false" customHeight="false" outlineLevel="0" collapsed="false">
      <c r="A89" s="348" t="s">
        <v>268</v>
      </c>
      <c r="E89" s="442"/>
      <c r="F89" s="530" t="n">
        <v>0.04</v>
      </c>
      <c r="G89" s="531" t="n">
        <v>0.04</v>
      </c>
      <c r="H89" s="531" t="n">
        <v>0.04</v>
      </c>
      <c r="I89" s="531" t="n">
        <f aca="false">H89</f>
        <v>0.04</v>
      </c>
      <c r="J89" s="531" t="n">
        <v>0.03</v>
      </c>
      <c r="K89" s="531" t="n">
        <f aca="false">J89</f>
        <v>0.03</v>
      </c>
      <c r="L89" s="531" t="n">
        <f aca="false">K89</f>
        <v>0.03</v>
      </c>
      <c r="M89" s="531" t="n">
        <f aca="false">L89</f>
        <v>0.03</v>
      </c>
      <c r="N89" s="531" t="n">
        <v>0.02</v>
      </c>
      <c r="O89" s="531" t="n">
        <f aca="false">N89</f>
        <v>0.02</v>
      </c>
      <c r="P89" s="531" t="n">
        <f aca="false">O89</f>
        <v>0.02</v>
      </c>
    </row>
    <row r="90" customFormat="false" ht="12.75" hidden="false" customHeight="false" outlineLevel="0" collapsed="false">
      <c r="A90" s="348"/>
      <c r="E90" s="442"/>
      <c r="F90" s="593" t="n">
        <v>0.05</v>
      </c>
      <c r="G90" s="594" t="n">
        <v>0.095</v>
      </c>
      <c r="H90" s="594" t="n">
        <v>0.0855</v>
      </c>
      <c r="I90" s="594" t="n">
        <v>0.077</v>
      </c>
      <c r="J90" s="594" t="n">
        <v>0.0693</v>
      </c>
      <c r="K90" s="594" t="n">
        <v>0.0623</v>
      </c>
      <c r="L90" s="594" t="n">
        <v>0.059</v>
      </c>
      <c r="M90" s="594" t="n">
        <v>0.059</v>
      </c>
      <c r="N90" s="594" t="n">
        <v>0.0591</v>
      </c>
      <c r="O90" s="594" t="n">
        <v>0.059</v>
      </c>
      <c r="P90" s="595" t="n">
        <v>0.0591</v>
      </c>
    </row>
    <row r="91" customFormat="false" ht="12.75" hidden="false" customHeight="false" outlineLevel="0" collapsed="false">
      <c r="A91" s="187" t="s">
        <v>265</v>
      </c>
      <c r="B91" s="541"/>
      <c r="E91" s="442"/>
      <c r="F91" s="187" t="n">
        <f aca="false">F89*$C$84</f>
        <v>98196.72</v>
      </c>
      <c r="G91" s="187" t="n">
        <f aca="false">G89*$C$84</f>
        <v>98196.72</v>
      </c>
      <c r="H91" s="187" t="n">
        <f aca="false">H89*$C$84</f>
        <v>98196.72</v>
      </c>
      <c r="I91" s="187" t="n">
        <f aca="false">I89*$C$84</f>
        <v>98196.72</v>
      </c>
      <c r="J91" s="187" t="n">
        <f aca="false">J89*$C$84</f>
        <v>73647.54</v>
      </c>
      <c r="K91" s="187" t="n">
        <f aca="false">K89*$C$84</f>
        <v>73647.54</v>
      </c>
      <c r="L91" s="187" t="n">
        <f aca="false">L89*$C$84</f>
        <v>73647.54</v>
      </c>
      <c r="M91" s="187" t="n">
        <f aca="false">M89*$C$84</f>
        <v>73647.54</v>
      </c>
      <c r="N91" s="187" t="n">
        <f aca="false">N89*$C$84</f>
        <v>49098.36</v>
      </c>
      <c r="O91" s="187" t="n">
        <f aca="false">O89*$C$84</f>
        <v>49098.36</v>
      </c>
      <c r="P91" s="187" t="n">
        <f aca="false">P89*$C$84</f>
        <v>49098.36</v>
      </c>
    </row>
    <row r="92" customFormat="false" ht="15" hidden="false" customHeight="false" outlineLevel="0" collapsed="false">
      <c r="A92" s="187" t="s">
        <v>266</v>
      </c>
      <c r="B92" s="466"/>
      <c r="E92" s="347"/>
      <c r="F92" s="339" t="n">
        <f aca="false">F121</f>
        <v>986.05</v>
      </c>
      <c r="G92" s="339" t="n">
        <f aca="false">G121</f>
        <v>3253.195</v>
      </c>
      <c r="H92" s="339" t="n">
        <f aca="false">H121</f>
        <v>8668.8755</v>
      </c>
      <c r="I92" s="339" t="n">
        <f aca="false">I121</f>
        <v>17088.224</v>
      </c>
      <c r="J92" s="339" t="n">
        <f aca="false">J121</f>
        <v>23286.4813</v>
      </c>
      <c r="K92" s="339" t="n">
        <f aca="false">K121</f>
        <v>25990.014</v>
      </c>
      <c r="L92" s="339" t="n">
        <f aca="false">L121</f>
        <v>27546.6875</v>
      </c>
      <c r="M92" s="339" t="n">
        <f aca="false">M121</f>
        <v>29080.999</v>
      </c>
      <c r="N92" s="339" t="n">
        <f aca="false">N121</f>
        <v>30799.6558</v>
      </c>
      <c r="O92" s="339" t="n">
        <f aca="false">O121</f>
        <v>32895.7831</v>
      </c>
      <c r="P92" s="339" t="n">
        <f aca="false">P121</f>
        <v>35258.0456</v>
      </c>
    </row>
    <row r="93" customFormat="false" ht="12.75" hidden="false" customHeight="false" outlineLevel="0" collapsed="false">
      <c r="A93" s="528" t="s">
        <v>279</v>
      </c>
      <c r="B93" s="386"/>
      <c r="C93" s="386"/>
      <c r="D93" s="386"/>
      <c r="E93" s="596"/>
      <c r="F93" s="348" t="n">
        <f aca="false">SUM(F91:F92)</f>
        <v>99182.77</v>
      </c>
      <c r="G93" s="348" t="n">
        <f aca="false">SUM(G91:G92)</f>
        <v>101449.915</v>
      </c>
      <c r="H93" s="348" t="n">
        <f aca="false">SUM(H91:H92)</f>
        <v>106865.5955</v>
      </c>
      <c r="I93" s="348" t="n">
        <f aca="false">SUM(I91:I92)</f>
        <v>115284.944</v>
      </c>
      <c r="J93" s="348" t="n">
        <f aca="false">SUM(J91:J92)</f>
        <v>96934.0213</v>
      </c>
      <c r="K93" s="348" t="n">
        <f aca="false">SUM(K91:K92)</f>
        <v>99637.554</v>
      </c>
      <c r="L93" s="348" t="n">
        <f aca="false">SUM(L91:L92)</f>
        <v>101194.2275</v>
      </c>
      <c r="M93" s="348" t="n">
        <f aca="false">SUM(M91:M92)</f>
        <v>102728.539</v>
      </c>
      <c r="N93" s="348" t="n">
        <f aca="false">SUM(N91:N92)</f>
        <v>79898.0158</v>
      </c>
      <c r="O93" s="348" t="n">
        <f aca="false">SUM(O91:O92)</f>
        <v>81994.1431</v>
      </c>
      <c r="P93" s="348" t="n">
        <f aca="false">SUM(P91:P92)</f>
        <v>84356.4056</v>
      </c>
    </row>
    <row r="94" customFormat="false" ht="12.75" hidden="false" customHeight="false" outlineLevel="0" collapsed="false">
      <c r="E94" s="187" t="n">
        <v>10000</v>
      </c>
      <c r="F94" s="187" t="n">
        <f aca="false">(F93-F87)*0.385</f>
        <v>16748.8061125</v>
      </c>
      <c r="G94" s="187" t="n">
        <f aca="false">(G93-G87)*0.385</f>
        <v>17382.6239125</v>
      </c>
      <c r="H94" s="187" t="n">
        <f aca="false">(H93-H87)*0.385</f>
        <v>18712.06568</v>
      </c>
      <c r="I94" s="187" t="n">
        <f aca="false">(I93-I87)*0.385</f>
        <v>21100.440515</v>
      </c>
      <c r="J94" s="187" t="n">
        <f aca="false">(J93-J87)*0.385</f>
        <v>13518.747088</v>
      </c>
      <c r="K94" s="187" t="n">
        <f aca="false">(K93-K87)*0.385</f>
        <v>14204.886465</v>
      </c>
      <c r="L94" s="187" t="n">
        <f aca="false">(L93-L87)*0.385</f>
        <v>14449.48505</v>
      </c>
      <c r="M94" s="187" t="n">
        <f aca="false">(M93-M87)*0.385</f>
        <v>14685.474265</v>
      </c>
      <c r="N94" s="187" t="n">
        <f aca="false">(N93-N87)*0.385</f>
        <v>5541.0021205</v>
      </c>
      <c r="O94" s="187" t="n">
        <f aca="false">(O93-O87)*0.385</f>
        <v>5993.2904185</v>
      </c>
      <c r="P94" s="187" t="n">
        <f aca="false">(P93-P87)*0.385</f>
        <v>6548.0407685</v>
      </c>
    </row>
    <row r="95" customFormat="false" ht="12.75" hidden="true" customHeight="false" outlineLevel="1" collapsed="false">
      <c r="A95" s="0" t="s">
        <v>270</v>
      </c>
      <c r="G95" s="204"/>
    </row>
    <row r="96" customFormat="false" ht="12.75" hidden="true" customHeight="false" outlineLevel="1" collapsed="false">
      <c r="F96" s="297" t="n">
        <v>2001</v>
      </c>
      <c r="G96" s="298" t="n">
        <v>2002</v>
      </c>
      <c r="H96" s="298" t="n">
        <v>2003</v>
      </c>
      <c r="I96" s="298" t="n">
        <v>2004</v>
      </c>
      <c r="J96" s="298" t="n">
        <v>2005</v>
      </c>
      <c r="K96" s="298" t="n">
        <v>2006</v>
      </c>
      <c r="L96" s="299" t="n">
        <v>2007</v>
      </c>
      <c r="M96" s="299" t="n">
        <v>2008</v>
      </c>
      <c r="N96" s="299" t="n">
        <v>2009</v>
      </c>
      <c r="O96" s="299" t="n">
        <v>2010</v>
      </c>
      <c r="P96" s="543" t="n">
        <v>2011</v>
      </c>
      <c r="Q96" s="597"/>
      <c r="R96" s="598"/>
    </row>
    <row r="97" customFormat="false" ht="12.75" hidden="true" customHeight="false" outlineLevel="1" collapsed="false">
      <c r="A97" s="0" t="n">
        <v>2000</v>
      </c>
      <c r="B97" s="0" t="s">
        <v>271</v>
      </c>
      <c r="F97" s="185" t="n">
        <f aca="false">F84*E80</f>
        <v>443.7225</v>
      </c>
      <c r="G97" s="185" t="n">
        <f aca="false">F97</f>
        <v>443.7225</v>
      </c>
      <c r="H97" s="185" t="n">
        <f aca="false">G97</f>
        <v>443.7225</v>
      </c>
      <c r="I97" s="185" t="n">
        <f aca="false">H97</f>
        <v>443.7225</v>
      </c>
      <c r="J97" s="185" t="n">
        <f aca="false">I97</f>
        <v>443.7225</v>
      </c>
      <c r="K97" s="185" t="n">
        <f aca="false">J97</f>
        <v>443.7225</v>
      </c>
      <c r="L97" s="185" t="n">
        <f aca="false">K97</f>
        <v>443.7225</v>
      </c>
      <c r="M97" s="185" t="n">
        <f aca="false">L97</f>
        <v>443.7225</v>
      </c>
      <c r="N97" s="185" t="n">
        <f aca="false">M97</f>
        <v>443.7225</v>
      </c>
      <c r="O97" s="185" t="n">
        <f aca="false">N97</f>
        <v>443.7225</v>
      </c>
      <c r="P97" s="185" t="n">
        <f aca="false">O97</f>
        <v>443.7225</v>
      </c>
      <c r="Q97" s="191"/>
      <c r="R97" s="191"/>
    </row>
    <row r="98" customFormat="false" ht="12.75" hidden="true" customHeight="false" outlineLevel="1" collapsed="false">
      <c r="A98" s="0" t="n">
        <v>2001</v>
      </c>
      <c r="B98" s="0" t="s">
        <v>271</v>
      </c>
      <c r="F98" s="185"/>
      <c r="G98" s="185" t="n">
        <f aca="false">G$84*F$80</f>
        <v>620.865</v>
      </c>
      <c r="H98" s="185" t="n">
        <f aca="false">G98</f>
        <v>620.865</v>
      </c>
      <c r="I98" s="185" t="n">
        <f aca="false">H98</f>
        <v>620.865</v>
      </c>
      <c r="J98" s="185" t="n">
        <f aca="false">I98</f>
        <v>620.865</v>
      </c>
      <c r="K98" s="185" t="n">
        <f aca="false">J98</f>
        <v>620.865</v>
      </c>
      <c r="L98" s="185" t="n">
        <f aca="false">K98</f>
        <v>620.865</v>
      </c>
      <c r="M98" s="185" t="n">
        <f aca="false">L98</f>
        <v>620.865</v>
      </c>
      <c r="N98" s="185" t="n">
        <f aca="false">M98</f>
        <v>620.865</v>
      </c>
      <c r="O98" s="185" t="n">
        <f aca="false">N98</f>
        <v>620.865</v>
      </c>
      <c r="P98" s="185" t="n">
        <f aca="false">O98</f>
        <v>620.865</v>
      </c>
      <c r="Q98" s="191"/>
      <c r="R98" s="191"/>
    </row>
    <row r="99" customFormat="false" ht="12.75" hidden="true" customHeight="false" outlineLevel="1" collapsed="false">
      <c r="A99" s="0" t="n">
        <v>2002</v>
      </c>
      <c r="B99" s="0" t="s">
        <v>271</v>
      </c>
      <c r="F99" s="185"/>
      <c r="G99" s="185"/>
      <c r="H99" s="185" t="n">
        <f aca="false">H$84*G$80</f>
        <v>1962.585</v>
      </c>
      <c r="I99" s="185" t="n">
        <f aca="false">H99</f>
        <v>1962.585</v>
      </c>
      <c r="J99" s="185" t="n">
        <f aca="false">I99</f>
        <v>1962.585</v>
      </c>
      <c r="K99" s="185" t="n">
        <f aca="false">J99</f>
        <v>1962.585</v>
      </c>
      <c r="L99" s="185" t="n">
        <f aca="false">K99</f>
        <v>1962.585</v>
      </c>
      <c r="M99" s="185" t="n">
        <f aca="false">L99</f>
        <v>1962.585</v>
      </c>
      <c r="N99" s="185" t="n">
        <f aca="false">M99</f>
        <v>1962.585</v>
      </c>
      <c r="O99" s="185" t="n">
        <f aca="false">N99</f>
        <v>1962.585</v>
      </c>
      <c r="P99" s="185" t="n">
        <f aca="false">O99</f>
        <v>1962.585</v>
      </c>
      <c r="Q99" s="191"/>
      <c r="R99" s="191"/>
    </row>
    <row r="100" customFormat="false" ht="12.75" hidden="true" customHeight="false" outlineLevel="1" collapsed="false">
      <c r="A100" s="0" t="n">
        <v>2003</v>
      </c>
      <c r="B100" s="0" t="s">
        <v>271</v>
      </c>
      <c r="F100" s="185"/>
      <c r="G100" s="185"/>
      <c r="H100" s="185"/>
      <c r="I100" s="185" t="n">
        <f aca="false">I$84*H$80</f>
        <v>2215.7775</v>
      </c>
      <c r="J100" s="185" t="n">
        <f aca="false">I100</f>
        <v>2215.7775</v>
      </c>
      <c r="K100" s="185" t="n">
        <f aca="false">J100</f>
        <v>2215.7775</v>
      </c>
      <c r="L100" s="185" t="n">
        <f aca="false">K100</f>
        <v>2215.7775</v>
      </c>
      <c r="M100" s="185" t="n">
        <f aca="false">L100</f>
        <v>2215.7775</v>
      </c>
      <c r="N100" s="185" t="n">
        <f aca="false">M100</f>
        <v>2215.7775</v>
      </c>
      <c r="O100" s="185" t="n">
        <f aca="false">N100</f>
        <v>2215.7775</v>
      </c>
      <c r="P100" s="185" t="n">
        <f aca="false">O100</f>
        <v>2215.7775</v>
      </c>
      <c r="Q100" s="191"/>
      <c r="R100" s="191"/>
    </row>
    <row r="101" customFormat="false" ht="12.75" hidden="true" customHeight="false" outlineLevel="1" collapsed="false">
      <c r="A101" s="0" t="n">
        <v>2004</v>
      </c>
      <c r="B101" s="0" t="s">
        <v>271</v>
      </c>
      <c r="F101" s="185"/>
      <c r="G101" s="185"/>
      <c r="H101" s="185"/>
      <c r="I101" s="185"/>
      <c r="J101" s="185" t="n">
        <f aca="false">J$84*I$80</f>
        <v>1341.7875</v>
      </c>
      <c r="K101" s="185" t="n">
        <f aca="false">J101</f>
        <v>1341.7875</v>
      </c>
      <c r="L101" s="185" t="n">
        <f aca="false">K101</f>
        <v>1341.7875</v>
      </c>
      <c r="M101" s="185" t="n">
        <f aca="false">L101</f>
        <v>1341.7875</v>
      </c>
      <c r="N101" s="185" t="n">
        <f aca="false">M101</f>
        <v>1341.7875</v>
      </c>
      <c r="O101" s="185" t="n">
        <f aca="false">N101</f>
        <v>1341.7875</v>
      </c>
      <c r="P101" s="185" t="n">
        <f aca="false">O101</f>
        <v>1341.7875</v>
      </c>
      <c r="Q101" s="191"/>
      <c r="R101" s="191"/>
    </row>
    <row r="102" customFormat="false" ht="12.75" hidden="true" customHeight="false" outlineLevel="1" collapsed="false">
      <c r="A102" s="0" t="n">
        <v>2005</v>
      </c>
      <c r="B102" s="0" t="s">
        <v>271</v>
      </c>
      <c r="F102" s="185"/>
      <c r="G102" s="185"/>
      <c r="H102" s="185"/>
      <c r="I102" s="185"/>
      <c r="J102" s="185"/>
      <c r="K102" s="185" t="n">
        <f aca="false">K$84*J$80</f>
        <v>921.3525</v>
      </c>
      <c r="L102" s="185" t="n">
        <f aca="false">K102</f>
        <v>921.3525</v>
      </c>
      <c r="M102" s="185" t="n">
        <f aca="false">L102</f>
        <v>921.3525</v>
      </c>
      <c r="N102" s="185" t="n">
        <f aca="false">M102</f>
        <v>921.3525</v>
      </c>
      <c r="O102" s="185" t="n">
        <f aca="false">N102</f>
        <v>921.3525</v>
      </c>
      <c r="P102" s="185" t="n">
        <f aca="false">O102</f>
        <v>921.3525</v>
      </c>
      <c r="Q102" s="191"/>
      <c r="R102" s="191"/>
    </row>
    <row r="103" customFormat="false" ht="12.75" hidden="true" customHeight="false" outlineLevel="1" collapsed="false">
      <c r="A103" s="0" t="n">
        <v>2006</v>
      </c>
      <c r="B103" s="0" t="s">
        <v>271</v>
      </c>
      <c r="F103" s="185"/>
      <c r="G103" s="185"/>
      <c r="H103" s="185"/>
      <c r="I103" s="185"/>
      <c r="J103" s="185"/>
      <c r="K103" s="185"/>
      <c r="L103" s="185" t="n">
        <f aca="false">L$84*K$80</f>
        <v>921.3525</v>
      </c>
      <c r="M103" s="185" t="n">
        <f aca="false">L103</f>
        <v>921.3525</v>
      </c>
      <c r="N103" s="185" t="n">
        <f aca="false">M103</f>
        <v>921.3525</v>
      </c>
      <c r="O103" s="185" t="n">
        <f aca="false">N103</f>
        <v>921.3525</v>
      </c>
      <c r="P103" s="185" t="n">
        <f aca="false">O103</f>
        <v>921.3525</v>
      </c>
      <c r="Q103" s="191"/>
      <c r="R103" s="191"/>
    </row>
    <row r="104" customFormat="false" ht="12.75" hidden="true" customHeight="false" outlineLevel="1" collapsed="false">
      <c r="A104" s="0" t="n">
        <v>2007</v>
      </c>
      <c r="B104" s="0" t="s">
        <v>271</v>
      </c>
      <c r="F104" s="185"/>
      <c r="G104" s="185"/>
      <c r="H104" s="185"/>
      <c r="I104" s="185"/>
      <c r="J104" s="185"/>
      <c r="K104" s="185"/>
      <c r="L104" s="185"/>
      <c r="M104" s="185" t="n">
        <f aca="false">M$84*L$80</f>
        <v>921.3525</v>
      </c>
      <c r="N104" s="185" t="n">
        <f aca="false">M104</f>
        <v>921.3525</v>
      </c>
      <c r="O104" s="185" t="n">
        <f aca="false">N104</f>
        <v>921.3525</v>
      </c>
      <c r="P104" s="185" t="n">
        <f aca="false">O104</f>
        <v>921.3525</v>
      </c>
      <c r="Q104" s="191"/>
      <c r="R104" s="191"/>
    </row>
    <row r="105" customFormat="false" ht="12.75" hidden="true" customHeight="false" outlineLevel="1" collapsed="false">
      <c r="A105" s="0" t="n">
        <v>2008</v>
      </c>
      <c r="B105" s="0" t="s">
        <v>271</v>
      </c>
      <c r="F105" s="185"/>
      <c r="G105" s="185"/>
      <c r="H105" s="185"/>
      <c r="I105" s="185"/>
      <c r="J105" s="185"/>
      <c r="K105" s="185"/>
      <c r="L105" s="185"/>
      <c r="M105" s="185"/>
      <c r="N105" s="185" t="n">
        <f aca="false">N$84*M$80</f>
        <v>921.3525</v>
      </c>
      <c r="O105" s="185" t="n">
        <f aca="false">N105</f>
        <v>921.3525</v>
      </c>
      <c r="P105" s="185" t="n">
        <f aca="false">O105</f>
        <v>921.3525</v>
      </c>
      <c r="Q105" s="191"/>
      <c r="R105" s="191"/>
    </row>
    <row r="106" customFormat="false" ht="12.75" hidden="true" customHeight="false" outlineLevel="1" collapsed="false">
      <c r="A106" s="0" t="n">
        <v>2009</v>
      </c>
      <c r="B106" s="0" t="s">
        <v>271</v>
      </c>
      <c r="F106" s="185"/>
      <c r="G106" s="185"/>
      <c r="H106" s="185"/>
      <c r="I106" s="185"/>
      <c r="J106" s="185"/>
      <c r="K106" s="185"/>
      <c r="L106" s="185"/>
      <c r="M106" s="185"/>
      <c r="N106" s="185"/>
      <c r="O106" s="185" t="n">
        <f aca="false">O$84*N$80</f>
        <v>921.3525</v>
      </c>
      <c r="P106" s="185" t="n">
        <f aca="false">O106</f>
        <v>921.3525</v>
      </c>
      <c r="Q106" s="191"/>
      <c r="R106" s="191"/>
    </row>
    <row r="107" customFormat="false" ht="12.75" hidden="true" customHeight="false" outlineLevel="1" collapsed="false">
      <c r="A107" s="0" t="n">
        <v>2010</v>
      </c>
      <c r="B107" s="0" t="s">
        <v>271</v>
      </c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 t="n">
        <f aca="false">P$84*O$80</f>
        <v>921.3525</v>
      </c>
      <c r="Q107" s="191"/>
      <c r="R107" s="191"/>
    </row>
    <row r="108" customFormat="false" ht="12.75" hidden="true" customHeight="false" outlineLevel="1" collapsed="false">
      <c r="A108" s="0" t="s">
        <v>267</v>
      </c>
      <c r="F108" s="544" t="n">
        <f aca="false">SUM(F97:F107)</f>
        <v>443.7225</v>
      </c>
      <c r="G108" s="544" t="n">
        <f aca="false">SUM(G97:G107)</f>
        <v>1064.5875</v>
      </c>
      <c r="H108" s="544" t="n">
        <f aca="false">SUM(H97:H107)</f>
        <v>3027.1725</v>
      </c>
      <c r="I108" s="544" t="n">
        <f aca="false">SUM(I97:I107)</f>
        <v>5242.95</v>
      </c>
      <c r="J108" s="544" t="n">
        <f aca="false">SUM(J97:J107)</f>
        <v>6584.7375</v>
      </c>
      <c r="K108" s="544" t="n">
        <f aca="false">SUM(K97:K107)</f>
        <v>7506.09</v>
      </c>
      <c r="L108" s="544" t="n">
        <f aca="false">SUM(L97:L107)</f>
        <v>8427.4425</v>
      </c>
      <c r="M108" s="544" t="n">
        <f aca="false">SUM(M97:M107)</f>
        <v>9348.795</v>
      </c>
      <c r="N108" s="544" t="n">
        <f aca="false">SUM(N97:N107)</f>
        <v>10270.1475</v>
      </c>
      <c r="O108" s="544" t="n">
        <f aca="false">SUM(O97:O107)</f>
        <v>11191.5</v>
      </c>
      <c r="P108" s="544" t="n">
        <f aca="false">SUM(P97:P107)</f>
        <v>12112.8525</v>
      </c>
      <c r="Q108" s="191"/>
      <c r="R108" s="191"/>
    </row>
    <row r="109" customFormat="false" ht="12.75" hidden="true" customHeight="false" outlineLevel="1" collapsed="false"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91"/>
      <c r="R109" s="191"/>
    </row>
    <row r="110" customFormat="false" ht="12.75" hidden="true" customHeight="false" outlineLevel="1" collapsed="false">
      <c r="A110" s="0" t="n">
        <v>2000</v>
      </c>
      <c r="B110" s="0" t="s">
        <v>271</v>
      </c>
      <c r="F110" s="185" t="n">
        <f aca="false">$E$80*F$90</f>
        <v>986.05</v>
      </c>
      <c r="G110" s="185" t="n">
        <f aca="false">$E$80*G$90</f>
        <v>1873.495</v>
      </c>
      <c r="H110" s="185" t="n">
        <f aca="false">$E$80*H$90</f>
        <v>1686.1455</v>
      </c>
      <c r="I110" s="185" t="n">
        <f aca="false">$E$80*I$90</f>
        <v>1518.517</v>
      </c>
      <c r="J110" s="185" t="n">
        <f aca="false">$E$80*J$90</f>
        <v>1366.6653</v>
      </c>
      <c r="K110" s="185" t="n">
        <f aca="false">$E$80*K$90</f>
        <v>1228.6183</v>
      </c>
      <c r="L110" s="185" t="n">
        <f aca="false">$E$80*L$90</f>
        <v>1163.539</v>
      </c>
      <c r="M110" s="185" t="n">
        <f aca="false">$E$80*M$90</f>
        <v>1163.539</v>
      </c>
      <c r="N110" s="185" t="n">
        <f aca="false">$E$80*N$90</f>
        <v>1165.5111</v>
      </c>
      <c r="O110" s="185" t="n">
        <f aca="false">$E$80*O$90</f>
        <v>1163.539</v>
      </c>
      <c r="P110" s="185" t="n">
        <f aca="false">$E$80*P$90</f>
        <v>1165.5111</v>
      </c>
      <c r="Q110" s="191"/>
      <c r="R110" s="191"/>
    </row>
    <row r="111" customFormat="false" ht="12.75" hidden="true" customHeight="false" outlineLevel="1" collapsed="false">
      <c r="A111" s="0" t="n">
        <v>2001</v>
      </c>
      <c r="B111" s="0" t="s">
        <v>271</v>
      </c>
      <c r="F111" s="185"/>
      <c r="G111" s="185" t="n">
        <f aca="false">$F$80*F$90</f>
        <v>1379.7</v>
      </c>
      <c r="H111" s="185" t="n">
        <f aca="false">$F$80*G$90</f>
        <v>2621.43</v>
      </c>
      <c r="I111" s="185" t="n">
        <f aca="false">$F$80*H$90</f>
        <v>2359.287</v>
      </c>
      <c r="J111" s="185" t="n">
        <f aca="false">$F$80*I$90</f>
        <v>2124.738</v>
      </c>
      <c r="K111" s="185" t="n">
        <f aca="false">$F$80*J$90</f>
        <v>1912.2642</v>
      </c>
      <c r="L111" s="185" t="n">
        <f aca="false">$F$80*K$90</f>
        <v>1719.1062</v>
      </c>
      <c r="M111" s="185" t="n">
        <f aca="false">$F$80*L$90</f>
        <v>1628.046</v>
      </c>
      <c r="N111" s="185" t="n">
        <f aca="false">$F$80*M$90</f>
        <v>1628.046</v>
      </c>
      <c r="O111" s="185" t="n">
        <f aca="false">$F$80*N$90</f>
        <v>1630.8054</v>
      </c>
      <c r="P111" s="185" t="n">
        <f aca="false">$F$80*O$90</f>
        <v>1628.046</v>
      </c>
      <c r="Q111" s="191"/>
      <c r="R111" s="191"/>
    </row>
    <row r="112" customFormat="false" ht="12.75" hidden="true" customHeight="false" outlineLevel="1" collapsed="false">
      <c r="A112" s="0" t="n">
        <v>2002</v>
      </c>
      <c r="B112" s="0" t="s">
        <v>271</v>
      </c>
      <c r="F112" s="185"/>
      <c r="G112" s="185"/>
      <c r="H112" s="185" t="n">
        <f aca="false">$G$80*F$90</f>
        <v>4361.3</v>
      </c>
      <c r="I112" s="185" t="n">
        <f aca="false">$G$80*G$90</f>
        <v>8286.47</v>
      </c>
      <c r="J112" s="185" t="n">
        <f aca="false">$G$80*H$90</f>
        <v>7457.823</v>
      </c>
      <c r="K112" s="185" t="n">
        <f aca="false">$G$80*I$90</f>
        <v>6716.402</v>
      </c>
      <c r="L112" s="185" t="n">
        <f aca="false">$G$80*J$90</f>
        <v>6044.7618</v>
      </c>
      <c r="M112" s="185" t="n">
        <f aca="false">$G$80*K$90</f>
        <v>5434.1798</v>
      </c>
      <c r="N112" s="185" t="n">
        <f aca="false">$G$80*L$90</f>
        <v>5146.334</v>
      </c>
      <c r="O112" s="185" t="n">
        <f aca="false">$G$80*M$90</f>
        <v>5146.334</v>
      </c>
      <c r="P112" s="185" t="n">
        <f aca="false">$G$80*N$90</f>
        <v>5155.0566</v>
      </c>
      <c r="Q112" s="191"/>
      <c r="R112" s="191"/>
    </row>
    <row r="113" customFormat="false" ht="12.75" hidden="true" customHeight="false" outlineLevel="1" collapsed="false">
      <c r="A113" s="0" t="n">
        <v>2003</v>
      </c>
      <c r="B113" s="0" t="s">
        <v>271</v>
      </c>
      <c r="F113" s="185"/>
      <c r="G113" s="185"/>
      <c r="H113" s="185"/>
      <c r="I113" s="185" t="n">
        <f aca="false">$H$80*F$90</f>
        <v>4923.95</v>
      </c>
      <c r="J113" s="185" t="n">
        <f aca="false">$H$80*G$90</f>
        <v>9355.505</v>
      </c>
      <c r="K113" s="185" t="n">
        <f aca="false">$H$80*H$90</f>
        <v>8419.9545</v>
      </c>
      <c r="L113" s="185" t="n">
        <f aca="false">$H$80*I$90</f>
        <v>7582.883</v>
      </c>
      <c r="M113" s="185" t="n">
        <f aca="false">$H$80*J$90</f>
        <v>6824.5947</v>
      </c>
      <c r="N113" s="185" t="n">
        <f aca="false">$H$80*K$90</f>
        <v>6135.2417</v>
      </c>
      <c r="O113" s="185" t="n">
        <f aca="false">$H$80*L$90</f>
        <v>5810.261</v>
      </c>
      <c r="P113" s="185" t="n">
        <f aca="false">$H$80*M$90</f>
        <v>5810.261</v>
      </c>
      <c r="Q113" s="191"/>
      <c r="R113" s="191"/>
    </row>
    <row r="114" customFormat="false" ht="12.75" hidden="true" customHeight="false" outlineLevel="1" collapsed="false">
      <c r="A114" s="0" t="n">
        <v>2004</v>
      </c>
      <c r="B114" s="0" t="s">
        <v>271</v>
      </c>
      <c r="F114" s="185"/>
      <c r="G114" s="185"/>
      <c r="H114" s="185"/>
      <c r="I114" s="185"/>
      <c r="J114" s="185" t="n">
        <f aca="false">$I$80*F$90</f>
        <v>2981.75</v>
      </c>
      <c r="K114" s="185" t="n">
        <f aca="false">$I$80*G$90</f>
        <v>5665.325</v>
      </c>
      <c r="L114" s="185" t="n">
        <f aca="false">$I$80*H$90</f>
        <v>5098.7925</v>
      </c>
      <c r="M114" s="185" t="n">
        <f aca="false">$I$80*I$90</f>
        <v>4591.895</v>
      </c>
      <c r="N114" s="185" t="n">
        <f aca="false">$I$80*J$90</f>
        <v>4132.7055</v>
      </c>
      <c r="O114" s="185" t="n">
        <f aca="false">$I$80*K$90</f>
        <v>3715.2605</v>
      </c>
      <c r="P114" s="185" t="n">
        <f aca="false">$I$80*L$90</f>
        <v>3518.465</v>
      </c>
      <c r="Q114" s="191"/>
      <c r="R114" s="191"/>
    </row>
    <row r="115" customFormat="false" ht="12.75" hidden="true" customHeight="false" outlineLevel="1" collapsed="false">
      <c r="A115" s="0" t="n">
        <v>2005</v>
      </c>
      <c r="B115" s="0" t="s">
        <v>271</v>
      </c>
      <c r="F115" s="185"/>
      <c r="G115" s="185"/>
      <c r="H115" s="185"/>
      <c r="I115" s="185"/>
      <c r="J115" s="185"/>
      <c r="K115" s="185" t="n">
        <f aca="false">$J$80*F$90</f>
        <v>2047.45</v>
      </c>
      <c r="L115" s="185" t="n">
        <f aca="false">$J$80*G$90</f>
        <v>3890.155</v>
      </c>
      <c r="M115" s="185" t="n">
        <f aca="false">$J$80*H$90</f>
        <v>3501.1395</v>
      </c>
      <c r="N115" s="185" t="n">
        <f aca="false">$J$80*I$90</f>
        <v>3153.073</v>
      </c>
      <c r="O115" s="185" t="n">
        <f aca="false">$J$80*J$90</f>
        <v>2837.7657</v>
      </c>
      <c r="P115" s="185" t="n">
        <f aca="false">$J$80*K$90</f>
        <v>2551.1227</v>
      </c>
      <c r="Q115" s="191"/>
      <c r="R115" s="191"/>
    </row>
    <row r="116" customFormat="false" ht="12.75" hidden="true" customHeight="false" outlineLevel="1" collapsed="false">
      <c r="A116" s="0" t="n">
        <v>2006</v>
      </c>
      <c r="B116" s="0" t="s">
        <v>271</v>
      </c>
      <c r="F116" s="185"/>
      <c r="G116" s="185"/>
      <c r="H116" s="185"/>
      <c r="I116" s="185"/>
      <c r="J116" s="185"/>
      <c r="K116" s="185"/>
      <c r="L116" s="185" t="n">
        <f aca="false">$K$80*F$90</f>
        <v>2047.45</v>
      </c>
      <c r="M116" s="185" t="n">
        <f aca="false">$K$80*G$90</f>
        <v>3890.155</v>
      </c>
      <c r="N116" s="185" t="n">
        <f aca="false">$K$80*H$90</f>
        <v>3501.1395</v>
      </c>
      <c r="O116" s="185" t="n">
        <f aca="false">$K$80*I$90</f>
        <v>3153.073</v>
      </c>
      <c r="P116" s="185" t="n">
        <f aca="false">$K$80*J$90</f>
        <v>2837.7657</v>
      </c>
      <c r="Q116" s="191"/>
      <c r="R116" s="191"/>
    </row>
    <row r="117" customFormat="false" ht="12.75" hidden="true" customHeight="false" outlineLevel="1" collapsed="false">
      <c r="A117" s="0" t="n">
        <v>2007</v>
      </c>
      <c r="B117" s="0" t="s">
        <v>271</v>
      </c>
      <c r="F117" s="185"/>
      <c r="G117" s="185"/>
      <c r="H117" s="185"/>
      <c r="I117" s="185"/>
      <c r="J117" s="185"/>
      <c r="K117" s="185"/>
      <c r="L117" s="185"/>
      <c r="M117" s="185" t="n">
        <f aca="false">$L$80*F$90</f>
        <v>2047.45</v>
      </c>
      <c r="N117" s="185" t="n">
        <f aca="false">$L$80*G$90</f>
        <v>3890.155</v>
      </c>
      <c r="O117" s="185" t="n">
        <f aca="false">$L$80*H$90</f>
        <v>3501.1395</v>
      </c>
      <c r="P117" s="185" t="n">
        <f aca="false">$L$80*I$90</f>
        <v>3153.073</v>
      </c>
      <c r="Q117" s="191"/>
      <c r="R117" s="191"/>
    </row>
    <row r="118" customFormat="false" ht="12.75" hidden="true" customHeight="false" outlineLevel="1" collapsed="false">
      <c r="A118" s="0" t="n">
        <v>2008</v>
      </c>
      <c r="B118" s="0" t="s">
        <v>271</v>
      </c>
      <c r="F118" s="185"/>
      <c r="G118" s="185"/>
      <c r="H118" s="185"/>
      <c r="I118" s="185"/>
      <c r="J118" s="185"/>
      <c r="K118" s="185"/>
      <c r="L118" s="185"/>
      <c r="M118" s="185"/>
      <c r="N118" s="185" t="n">
        <f aca="false">$M$80*F$90</f>
        <v>2047.45</v>
      </c>
      <c r="O118" s="185" t="n">
        <f aca="false">$M$80*G$90</f>
        <v>3890.155</v>
      </c>
      <c r="P118" s="185" t="n">
        <f aca="false">$M$80*H$90</f>
        <v>3501.1395</v>
      </c>
      <c r="Q118" s="191"/>
      <c r="R118" s="191"/>
    </row>
    <row r="119" customFormat="false" ht="12.75" hidden="true" customHeight="false" outlineLevel="1" collapsed="false">
      <c r="A119" s="0" t="n">
        <v>2009</v>
      </c>
      <c r="B119" s="0" t="s">
        <v>271</v>
      </c>
      <c r="F119" s="185"/>
      <c r="G119" s="185"/>
      <c r="H119" s="185"/>
      <c r="I119" s="185"/>
      <c r="J119" s="185"/>
      <c r="K119" s="185"/>
      <c r="L119" s="185"/>
      <c r="M119" s="185"/>
      <c r="N119" s="185"/>
      <c r="O119" s="185" t="n">
        <f aca="false">$N$80*F$90</f>
        <v>2047.45</v>
      </c>
      <c r="P119" s="185" t="n">
        <f aca="false">$N$80*G$90</f>
        <v>3890.155</v>
      </c>
      <c r="Q119" s="191"/>
      <c r="R119" s="191"/>
    </row>
    <row r="120" customFormat="false" ht="12.75" hidden="true" customHeight="false" outlineLevel="1" collapsed="false">
      <c r="A120" s="0" t="n">
        <v>2010</v>
      </c>
      <c r="B120" s="0" t="s">
        <v>271</v>
      </c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 t="n">
        <f aca="false">O$80*$F$90</f>
        <v>2047.45</v>
      </c>
      <c r="Q120" s="191"/>
      <c r="R120" s="191"/>
    </row>
    <row r="121" customFormat="false" ht="12.75" hidden="true" customHeight="false" outlineLevel="1" collapsed="false">
      <c r="F121" s="544" t="n">
        <f aca="false">SUM(F110:F120)</f>
        <v>986.05</v>
      </c>
      <c r="G121" s="544" t="n">
        <f aca="false">SUM(G110:G120)</f>
        <v>3253.195</v>
      </c>
      <c r="H121" s="544" t="n">
        <f aca="false">SUM(H110:H120)</f>
        <v>8668.8755</v>
      </c>
      <c r="I121" s="544" t="n">
        <f aca="false">SUM(I110:I120)</f>
        <v>17088.224</v>
      </c>
      <c r="J121" s="544" t="n">
        <f aca="false">SUM(J110:J120)</f>
        <v>23286.4813</v>
      </c>
      <c r="K121" s="544" t="n">
        <f aca="false">SUM(K110:K120)</f>
        <v>25990.014</v>
      </c>
      <c r="L121" s="544" t="n">
        <f aca="false">SUM(L110:L120)</f>
        <v>27546.6875</v>
      </c>
      <c r="M121" s="544" t="n">
        <f aca="false">SUM(M110:M120)</f>
        <v>29080.999</v>
      </c>
      <c r="N121" s="544" t="n">
        <f aca="false">SUM(N110:N120)</f>
        <v>30799.6558</v>
      </c>
      <c r="O121" s="544" t="n">
        <f aca="false">SUM(O110:O120)</f>
        <v>32895.7831</v>
      </c>
      <c r="P121" s="544" t="n">
        <f aca="false">SUM(P110:P120)</f>
        <v>35258.0456</v>
      </c>
      <c r="Q121" s="191"/>
      <c r="R121" s="191"/>
    </row>
  </sheetData>
  <mergeCells count="1">
    <mergeCell ref="K35:M35"/>
  </mergeCells>
  <conditionalFormatting sqref="D71 D74 D56 D53 D49:D50 D67:D68">
    <cfRule type="cellIs" priority="2" operator="notBetween" aboveAverage="0" equalAverage="0" bottom="0" percent="0" rank="0" text="" dxfId="3">
      <formula>0.25</formula>
      <formula>-0.25</formula>
    </cfRule>
  </conditionalFormatting>
  <printOptions headings="false" gridLines="false" gridLinesSet="true" horizontalCentered="false" verticalCentered="false"/>
  <pageMargins left="0" right="0" top="0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&amp;L&amp;F&amp;C&amp;A&amp;R&amp;D, &amp;T</oddFooter>
  </headerFooter>
  <rowBreaks count="1" manualBreakCount="1">
    <brk id="80" man="true" max="16383" min="0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55"/>
  <sheetViews>
    <sheetView showFormulas="false" showGridLines="true" showRowColHeaders="true" showZeros="true" rightToLeft="false" tabSelected="false" showOutlineSymbols="true" defaultGridColor="true" view="normal" topLeftCell="C22" colorId="64" zoomScale="75" zoomScaleNormal="75" zoomScalePageLayoutView="50" workbookViewId="0">
      <selection pane="topLeft" activeCell="G60" activeCellId="0" sqref="G60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29.28"/>
    <col collapsed="false" customWidth="true" hidden="false" outlineLevel="1" max="2" min="2" style="0" width="15.85"/>
    <col collapsed="false" customWidth="true" hidden="false" outlineLevel="1" max="3" min="3" style="0" width="12.85"/>
    <col collapsed="false" customWidth="true" hidden="false" outlineLevel="0" max="5" min="4" style="204" width="14.85"/>
    <col collapsed="false" customWidth="true" hidden="false" outlineLevel="0" max="6" min="6" style="204" width="16.7"/>
    <col collapsed="false" customWidth="true" hidden="false" outlineLevel="0" max="7" min="7" style="0" width="16.84"/>
    <col collapsed="false" customWidth="true" hidden="false" outlineLevel="0" max="10" min="8" style="0" width="15.56"/>
    <col collapsed="false" customWidth="true" hidden="false" outlineLevel="0" max="11" min="11" style="0" width="12.85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6" min="15" style="0" width="15.56"/>
    <col collapsed="false" customWidth="true" hidden="false" outlineLevel="0" max="17" min="17" style="0" width="17.85"/>
    <col collapsed="false" customWidth="true" hidden="false" outlineLevel="0" max="18" min="18" style="0" width="13.41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  <c r="D1" s="437"/>
      <c r="E1" s="437"/>
      <c r="F1" s="395" t="s">
        <v>50</v>
      </c>
      <c r="G1" s="438"/>
      <c r="H1" s="439"/>
    </row>
    <row r="2" customFormat="false" ht="15.75" hidden="false" customHeight="false" outlineLevel="0" collapsed="false">
      <c r="A2" s="440" t="s">
        <v>48</v>
      </c>
      <c r="B2" s="441"/>
      <c r="C2" s="18"/>
      <c r="D2" s="442"/>
      <c r="E2" s="442"/>
      <c r="F2" s="443"/>
      <c r="G2" s="318"/>
      <c r="H2" s="444"/>
      <c r="I2" s="318"/>
      <c r="R2" s="204"/>
    </row>
    <row r="3" customFormat="false" ht="16.5" hidden="false" customHeight="false" outlineLevel="0" collapsed="false">
      <c r="A3" s="445" t="s">
        <v>218</v>
      </c>
      <c r="B3" s="446"/>
      <c r="C3" s="30"/>
      <c r="D3" s="442"/>
      <c r="E3" s="442"/>
      <c r="F3" s="443"/>
      <c r="G3" s="16"/>
      <c r="H3" s="444"/>
      <c r="I3" s="318"/>
      <c r="R3" s="204"/>
    </row>
    <row r="4" customFormat="false" ht="13.5" hidden="false" customHeight="false" outlineLevel="0" collapsed="false">
      <c r="A4" s="447"/>
      <c r="B4" s="441"/>
      <c r="D4" s="442"/>
      <c r="E4" s="442"/>
      <c r="F4" s="448"/>
      <c r="G4" s="449"/>
      <c r="H4" s="450"/>
      <c r="I4" s="318"/>
      <c r="R4" s="204"/>
    </row>
    <row r="5" customFormat="false" ht="12.75" hidden="false" customHeight="false" outlineLevel="0" collapsed="false">
      <c r="A5" s="447"/>
      <c r="B5" s="441"/>
      <c r="D5" s="442"/>
      <c r="E5" s="442"/>
      <c r="F5" s="72"/>
      <c r="G5" s="318"/>
      <c r="H5" s="318"/>
      <c r="I5" s="318"/>
      <c r="R5" s="204"/>
    </row>
    <row r="6" customFormat="false" ht="15.75" hidden="false" customHeight="false" outlineLevel="0" collapsed="false">
      <c r="A6" s="284" t="s">
        <v>155</v>
      </c>
      <c r="B6" s="285"/>
      <c r="C6" s="85"/>
      <c r="D6" s="286"/>
      <c r="E6" s="286"/>
      <c r="F6" s="85"/>
      <c r="G6" s="287"/>
      <c r="H6" s="287"/>
      <c r="I6" s="287"/>
      <c r="J6" s="85"/>
      <c r="K6" s="85"/>
      <c r="L6" s="85"/>
      <c r="M6" s="85"/>
      <c r="N6" s="85"/>
      <c r="O6" s="85"/>
      <c r="P6" s="85"/>
      <c r="Q6" s="85"/>
      <c r="R6" s="290"/>
    </row>
    <row r="7" customFormat="false" ht="12.75" hidden="false" customHeight="false" outlineLevel="0" collapsed="false">
      <c r="D7" s="292"/>
      <c r="E7" s="292"/>
      <c r="F7" s="293"/>
      <c r="G7" s="294" t="s">
        <v>156</v>
      </c>
      <c r="H7" s="295"/>
      <c r="I7" s="293"/>
      <c r="J7" s="293"/>
      <c r="K7" s="296"/>
      <c r="L7" s="293"/>
      <c r="M7" s="296"/>
      <c r="N7" s="296"/>
      <c r="O7" s="296"/>
      <c r="P7" s="296"/>
      <c r="Q7" s="75"/>
      <c r="R7" s="451"/>
      <c r="S7" s="451"/>
    </row>
    <row r="8" customFormat="false" ht="12.75" hidden="false" customHeight="false" outlineLevel="0" collapsed="false">
      <c r="D8" s="297" t="n">
        <v>1998</v>
      </c>
      <c r="E8" s="297" t="n">
        <v>1999</v>
      </c>
      <c r="F8" s="297" t="n">
        <v>2000</v>
      </c>
      <c r="G8" s="297" t="n">
        <v>2001</v>
      </c>
      <c r="H8" s="298" t="n">
        <v>2002</v>
      </c>
      <c r="I8" s="298" t="n">
        <v>2003</v>
      </c>
      <c r="J8" s="298" t="n">
        <v>2004</v>
      </c>
      <c r="K8" s="298" t="n">
        <v>2005</v>
      </c>
      <c r="L8" s="298" t="n">
        <v>2006</v>
      </c>
      <c r="M8" s="299" t="n">
        <v>2007</v>
      </c>
      <c r="N8" s="299" t="n">
        <v>2008</v>
      </c>
      <c r="O8" s="299" t="n">
        <v>2009</v>
      </c>
      <c r="P8" s="299" t="n">
        <v>2010</v>
      </c>
      <c r="Q8" s="300" t="n">
        <v>2011</v>
      </c>
      <c r="R8" s="187"/>
      <c r="S8" s="187"/>
    </row>
    <row r="9" customFormat="false" ht="12.75" hidden="false" customHeight="false" outlineLevel="0" collapsed="false">
      <c r="F9" s="301" t="s">
        <v>157</v>
      </c>
      <c r="G9" s="297" t="n">
        <v>1</v>
      </c>
      <c r="H9" s="298" t="n">
        <v>2</v>
      </c>
      <c r="I9" s="298" t="n">
        <v>3</v>
      </c>
      <c r="J9" s="298" t="n">
        <v>4</v>
      </c>
      <c r="K9" s="298" t="n">
        <v>5</v>
      </c>
      <c r="L9" s="298" t="n">
        <v>6</v>
      </c>
      <c r="M9" s="298" t="n">
        <v>7</v>
      </c>
      <c r="N9" s="298" t="n">
        <v>8</v>
      </c>
      <c r="O9" s="298" t="n">
        <v>9</v>
      </c>
      <c r="P9" s="298" t="n">
        <v>10</v>
      </c>
      <c r="Q9" s="302" t="n">
        <v>11</v>
      </c>
      <c r="R9" s="187"/>
      <c r="S9" s="187"/>
    </row>
    <row r="10" customFormat="false" ht="12.75" hidden="false" customHeight="false" outlineLevel="0" collapsed="false">
      <c r="D10" s="442"/>
      <c r="E10" s="442"/>
      <c r="F10" s="187"/>
      <c r="G10" s="453" t="str">
        <f aca="false">IF(C68=1,A71,IF(C68=2,A79,A82))</f>
        <v>1. Base Case</v>
      </c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204"/>
    </row>
    <row r="11" customFormat="false" ht="12.75" hidden="false" customHeight="false" outlineLevel="0" collapsed="false">
      <c r="A11" s="454" t="s">
        <v>160</v>
      </c>
      <c r="B11" s="455"/>
      <c r="C11" s="456"/>
      <c r="D11" s="457" t="n">
        <f aca="false">D75</f>
        <v>591005</v>
      </c>
      <c r="E11" s="457" t="n">
        <f aca="false">E75</f>
        <v>639391</v>
      </c>
      <c r="F11" s="457" t="n">
        <f aca="false">F75</f>
        <v>476073</v>
      </c>
      <c r="G11" s="176" t="n">
        <f aca="false">G68</f>
        <v>346941</v>
      </c>
      <c r="H11" s="176" t="n">
        <f aca="false">H68</f>
        <v>402886</v>
      </c>
      <c r="I11" s="176" t="n">
        <f aca="false">I68</f>
        <v>429460</v>
      </c>
      <c r="J11" s="176" t="n">
        <f aca="false">J68</f>
        <v>433496</v>
      </c>
      <c r="K11" s="176" t="n">
        <f aca="false">K68</f>
        <v>431092</v>
      </c>
      <c r="L11" s="176" t="n">
        <f aca="false">L68</f>
        <v>431092</v>
      </c>
      <c r="M11" s="176" t="n">
        <f aca="false">M68</f>
        <v>431092</v>
      </c>
      <c r="N11" s="176" t="n">
        <f aca="false">N68</f>
        <v>431092</v>
      </c>
      <c r="O11" s="176" t="n">
        <f aca="false">O68</f>
        <v>431092</v>
      </c>
      <c r="P11" s="176" t="n">
        <f aca="false">P68</f>
        <v>431092</v>
      </c>
      <c r="Q11" s="176" t="n">
        <f aca="false">Q68</f>
        <v>431092</v>
      </c>
      <c r="R11" s="204"/>
    </row>
    <row r="12" customFormat="false" ht="12.75" hidden="false" customHeight="false" outlineLevel="0" collapsed="false">
      <c r="D12" s="458"/>
      <c r="E12" s="458"/>
      <c r="F12" s="310"/>
      <c r="G12" s="453" t="str">
        <f aca="false">IF(C90=1,A93,IF(C90=2,A103,A106))</f>
        <v>1. Base Case</v>
      </c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204"/>
    </row>
    <row r="13" customFormat="false" ht="12.75" hidden="false" customHeight="false" outlineLevel="0" collapsed="false">
      <c r="A13" s="25" t="s">
        <v>219</v>
      </c>
      <c r="B13" s="459"/>
      <c r="C13" s="16"/>
      <c r="D13" s="457" t="n">
        <f aca="false">D100</f>
        <v>371819</v>
      </c>
      <c r="E13" s="457" t="n">
        <f aca="false">E100</f>
        <v>431944</v>
      </c>
      <c r="F13" s="457" t="n">
        <f aca="false">F100</f>
        <v>261030</v>
      </c>
      <c r="G13" s="176" t="n">
        <f aca="false">G100</f>
        <v>100664</v>
      </c>
      <c r="H13" s="176" t="n">
        <f aca="false">H100</f>
        <v>108845</v>
      </c>
      <c r="I13" s="176" t="n">
        <f aca="false">I100</f>
        <v>104444</v>
      </c>
      <c r="J13" s="176" t="n">
        <f aca="false">J100</f>
        <v>109651</v>
      </c>
      <c r="K13" s="176" t="n">
        <f aca="false">K100</f>
        <v>111033</v>
      </c>
      <c r="L13" s="176" t="n">
        <f aca="false">L100</f>
        <v>111033</v>
      </c>
      <c r="M13" s="176" t="n">
        <f aca="false">M100</f>
        <v>111033</v>
      </c>
      <c r="N13" s="176" t="n">
        <f aca="false">N100</f>
        <v>111033</v>
      </c>
      <c r="O13" s="176" t="n">
        <f aca="false">O100</f>
        <v>111033</v>
      </c>
      <c r="P13" s="176" t="n">
        <f aca="false">P100</f>
        <v>111033</v>
      </c>
      <c r="Q13" s="176" t="n">
        <f aca="false">Q100</f>
        <v>111033</v>
      </c>
      <c r="R13" s="204"/>
    </row>
    <row r="14" customFormat="false" ht="12.75" hidden="false" customHeight="false" outlineLevel="0" collapsed="false">
      <c r="A14" s="25"/>
      <c r="B14" s="459"/>
      <c r="C14" s="16"/>
      <c r="D14" s="460"/>
      <c r="E14" s="460"/>
      <c r="F14" s="460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04"/>
    </row>
    <row r="15" customFormat="false" ht="12.75" hidden="false" customHeight="false" outlineLevel="0" collapsed="false">
      <c r="A15" s="25" t="s">
        <v>197</v>
      </c>
      <c r="B15" s="16"/>
      <c r="C15" s="16"/>
      <c r="D15" s="457" t="n">
        <f aca="false">(D11-D13)</f>
        <v>219186</v>
      </c>
      <c r="E15" s="457" t="n">
        <f aca="false">(E11-E13)</f>
        <v>207447</v>
      </c>
      <c r="F15" s="457" t="n">
        <f aca="false">(F11-F13)</f>
        <v>215043</v>
      </c>
      <c r="G15" s="176" t="n">
        <f aca="false">(G11-G13)</f>
        <v>246277</v>
      </c>
      <c r="H15" s="176" t="n">
        <f aca="false">(H11-H13)</f>
        <v>294041</v>
      </c>
      <c r="I15" s="176" t="n">
        <f aca="false">(I11-I13)</f>
        <v>325016</v>
      </c>
      <c r="J15" s="176" t="n">
        <f aca="false">(J11-J13)</f>
        <v>323845</v>
      </c>
      <c r="K15" s="176" t="n">
        <f aca="false">(K11-K13)</f>
        <v>320059</v>
      </c>
      <c r="L15" s="176" t="n">
        <f aca="false">(L11-L13)</f>
        <v>320059</v>
      </c>
      <c r="M15" s="176" t="n">
        <f aca="false">(M11-M13)</f>
        <v>320059</v>
      </c>
      <c r="N15" s="176" t="n">
        <f aca="false">(N11-N13)</f>
        <v>320059</v>
      </c>
      <c r="O15" s="176" t="n">
        <f aca="false">(O11-O13)</f>
        <v>320059</v>
      </c>
      <c r="P15" s="176" t="n">
        <f aca="false">(P11-P13)</f>
        <v>320059</v>
      </c>
      <c r="Q15" s="176" t="n">
        <f aca="false">(Q11-Q13)</f>
        <v>320059</v>
      </c>
      <c r="R15" s="204"/>
    </row>
    <row r="16" customFormat="false" ht="12.75" hidden="false" customHeight="false" outlineLevel="0" collapsed="false">
      <c r="A16" s="461" t="s">
        <v>220</v>
      </c>
      <c r="B16" s="53"/>
      <c r="C16" s="53"/>
      <c r="D16" s="322" t="n">
        <f aca="false">D11/D13</f>
        <v>1.58949650233044</v>
      </c>
      <c r="E16" s="322" t="n">
        <f aca="false">E11/E13</f>
        <v>1.48026364528735</v>
      </c>
      <c r="F16" s="322" t="n">
        <f aca="false">F11/F13</f>
        <v>1.82382484771865</v>
      </c>
      <c r="G16" s="323" t="n">
        <f aca="false">G11/G13</f>
        <v>3.44652507351188</v>
      </c>
      <c r="H16" s="323" t="n">
        <f aca="false">H11/H13</f>
        <v>3.70146538655887</v>
      </c>
      <c r="I16" s="323" t="n">
        <f aca="false">I11/I13</f>
        <v>4.11186856114281</v>
      </c>
      <c r="J16" s="323" t="n">
        <f aca="false">J11/J13</f>
        <v>3.95341583752086</v>
      </c>
      <c r="K16" s="323" t="n">
        <f aca="false">K11/K13</f>
        <v>3.88255743787883</v>
      </c>
      <c r="L16" s="323" t="n">
        <f aca="false">L11/L13</f>
        <v>3.88255743787883</v>
      </c>
      <c r="M16" s="323" t="n">
        <f aca="false">M11/M13</f>
        <v>3.88255743787883</v>
      </c>
      <c r="N16" s="323" t="n">
        <f aca="false">N11/N13</f>
        <v>3.88255743787883</v>
      </c>
      <c r="O16" s="323" t="n">
        <f aca="false">O11/O13</f>
        <v>3.88255743787883</v>
      </c>
      <c r="P16" s="323" t="n">
        <f aca="false">P11/P13</f>
        <v>3.88255743787883</v>
      </c>
      <c r="Q16" s="323" t="n">
        <f aca="false">Q11/Q13</f>
        <v>3.88255743787883</v>
      </c>
      <c r="R16" s="204"/>
    </row>
    <row r="17" customFormat="false" ht="12.75" hidden="false" customHeight="false" outlineLevel="0" collapsed="false">
      <c r="A17" s="461" t="s">
        <v>221</v>
      </c>
      <c r="B17" s="53"/>
      <c r="C17" s="53"/>
      <c r="D17" s="462" t="n">
        <f aca="false">(D11-D13)/D11</f>
        <v>0.370869958798995</v>
      </c>
      <c r="E17" s="462" t="n">
        <f aca="false">(E11-E13)/E11</f>
        <v>0.324444666878326</v>
      </c>
      <c r="F17" s="462" t="n">
        <f aca="false">(F11-F13)/F11</f>
        <v>0.45170173481798</v>
      </c>
      <c r="G17" s="463" t="n">
        <f aca="false">(G11-G13)/G11</f>
        <v>0.709852683885733</v>
      </c>
      <c r="H17" s="463" t="n">
        <f aca="false">(H11-H13)/H11</f>
        <v>0.729836728007426</v>
      </c>
      <c r="I17" s="463" t="n">
        <f aca="false">(I11-I13)/I11</f>
        <v>0.75680156475574</v>
      </c>
      <c r="J17" s="463" t="n">
        <f aca="false">(J11-J13)/J11</f>
        <v>0.747054182737557</v>
      </c>
      <c r="K17" s="463" t="n">
        <f aca="false">(K11-K13)/K11</f>
        <v>0.742437809098754</v>
      </c>
      <c r="L17" s="463" t="n">
        <f aca="false">(L11-L13)/L11</f>
        <v>0.742437809098754</v>
      </c>
      <c r="M17" s="463" t="n">
        <f aca="false">(M11-M13)/M11</f>
        <v>0.742437809098754</v>
      </c>
      <c r="N17" s="463" t="n">
        <f aca="false">(N11-N13)/N11</f>
        <v>0.742437809098754</v>
      </c>
      <c r="O17" s="463" t="n">
        <f aca="false">(O11-O13)/O11</f>
        <v>0.742437809098754</v>
      </c>
      <c r="P17" s="463" t="n">
        <f aca="false">(P11-P13)/P11</f>
        <v>0.742437809098754</v>
      </c>
      <c r="Q17" s="463" t="n">
        <f aca="false">(Q11-Q13)/Q11</f>
        <v>0.742437809098754</v>
      </c>
      <c r="R17" s="204"/>
    </row>
    <row r="18" customFormat="false" ht="12.75" hidden="false" customHeight="false" outlineLevel="0" collapsed="false">
      <c r="D18" s="305"/>
      <c r="E18" s="305"/>
      <c r="F18" s="305"/>
      <c r="G18" s="70"/>
      <c r="H18" s="70"/>
      <c r="R18" s="204"/>
    </row>
    <row r="19" customFormat="false" ht="12.75" hidden="false" customHeight="false" outlineLevel="0" collapsed="false">
      <c r="A19" s="386" t="s">
        <v>222</v>
      </c>
      <c r="D19" s="464" t="n">
        <f aca="false">1241-5667</f>
        <v>-4426</v>
      </c>
      <c r="E19" s="464" t="n">
        <f aca="false">2183+5778</f>
        <v>7961</v>
      </c>
      <c r="F19" s="465" t="n">
        <f aca="false">15176+8318</f>
        <v>23494</v>
      </c>
      <c r="G19" s="157" t="n">
        <v>35783</v>
      </c>
      <c r="H19" s="157" t="n">
        <v>26605</v>
      </c>
      <c r="I19" s="157" t="n">
        <v>10471</v>
      </c>
      <c r="J19" s="157" t="n">
        <v>2875</v>
      </c>
      <c r="K19" s="157" t="n">
        <v>2108</v>
      </c>
      <c r="L19" s="184" t="n">
        <f aca="false">K19</f>
        <v>2108</v>
      </c>
      <c r="M19" s="184" t="n">
        <f aca="false">L19</f>
        <v>2108</v>
      </c>
      <c r="N19" s="184" t="n">
        <f aca="false">M19</f>
        <v>2108</v>
      </c>
      <c r="O19" s="184" t="n">
        <f aca="false">N19</f>
        <v>2108</v>
      </c>
      <c r="P19" s="184" t="n">
        <f aca="false">O19</f>
        <v>2108</v>
      </c>
      <c r="Q19" s="184" t="n">
        <f aca="false">P19</f>
        <v>2108</v>
      </c>
      <c r="R19" s="204"/>
    </row>
    <row r="20" customFormat="false" ht="12.75" hidden="false" customHeight="false" outlineLevel="0" collapsed="false">
      <c r="A20" s="386" t="s">
        <v>288</v>
      </c>
      <c r="D20" s="464" t="n">
        <v>88289</v>
      </c>
      <c r="E20" s="464" t="n">
        <v>82538</v>
      </c>
      <c r="F20" s="465" t="n">
        <v>82117</v>
      </c>
      <c r="G20" s="157"/>
      <c r="H20" s="157"/>
      <c r="I20" s="157"/>
      <c r="J20" s="157"/>
      <c r="K20" s="157"/>
      <c r="L20" s="184"/>
      <c r="M20" s="184"/>
      <c r="N20" s="184"/>
      <c r="O20" s="184"/>
      <c r="P20" s="184"/>
      <c r="Q20" s="184"/>
      <c r="R20" s="204"/>
    </row>
    <row r="21" customFormat="false" ht="12.75" hidden="false" customHeight="false" outlineLevel="0" collapsed="false">
      <c r="A21" s="386" t="s">
        <v>223</v>
      </c>
      <c r="B21" s="466"/>
      <c r="D21" s="464" t="n">
        <f aca="false">D121</f>
        <v>51771</v>
      </c>
      <c r="E21" s="464" t="n">
        <f aca="false">E121</f>
        <v>51234</v>
      </c>
      <c r="F21" s="464" t="n">
        <f aca="false">F121</f>
        <v>50439</v>
      </c>
      <c r="G21" s="158" t="n">
        <f aca="false">G121</f>
        <v>56268.96</v>
      </c>
      <c r="H21" s="158" t="n">
        <f aca="false">H121</f>
        <v>59573.025</v>
      </c>
      <c r="I21" s="158" t="n">
        <f aca="false">I121</f>
        <v>63894.18</v>
      </c>
      <c r="J21" s="158" t="n">
        <f aca="false">J121</f>
        <v>64723.59</v>
      </c>
      <c r="K21" s="158" t="n">
        <f aca="false">K121</f>
        <v>65112.735</v>
      </c>
      <c r="L21" s="158" t="n">
        <f aca="false">L121</f>
        <v>65501.88</v>
      </c>
      <c r="M21" s="158" t="n">
        <f aca="false">M121</f>
        <v>65891.025</v>
      </c>
      <c r="N21" s="158" t="n">
        <f aca="false">N121</f>
        <v>66280.17</v>
      </c>
      <c r="O21" s="158" t="n">
        <f aca="false">O121</f>
        <v>66669.315</v>
      </c>
      <c r="P21" s="158" t="n">
        <f aca="false">P121</f>
        <v>67058.46</v>
      </c>
      <c r="Q21" s="158" t="n">
        <f aca="false">Q121</f>
        <v>67447.605</v>
      </c>
      <c r="R21" s="204"/>
    </row>
    <row r="22" customFormat="false" ht="12.75" hidden="false" customHeight="false" outlineLevel="0" collapsed="false">
      <c r="D22" s="469"/>
      <c r="E22" s="469"/>
      <c r="F22" s="333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04"/>
    </row>
    <row r="23" customFormat="false" ht="12.75" hidden="false" customHeight="false" outlineLevel="0" collapsed="false">
      <c r="A23" s="25" t="s">
        <v>200</v>
      </c>
      <c r="B23" s="16"/>
      <c r="C23" s="16"/>
      <c r="D23" s="457" t="n">
        <f aca="false">D15+D19-D20-D21</f>
        <v>74700</v>
      </c>
      <c r="E23" s="457" t="n">
        <f aca="false">E15+E19-E20-E21</f>
        <v>81636</v>
      </c>
      <c r="F23" s="457" t="n">
        <f aca="false">F15+F19-F20-F21</f>
        <v>105981</v>
      </c>
      <c r="G23" s="176" t="n">
        <f aca="false">G15+G19-G20-G21</f>
        <v>225791.04</v>
      </c>
      <c r="H23" s="176" t="n">
        <f aca="false">H15+H19-H20-H21</f>
        <v>261072.975</v>
      </c>
      <c r="I23" s="176" t="n">
        <f aca="false">I15+I19-I20-I21</f>
        <v>271592.82</v>
      </c>
      <c r="J23" s="176" t="n">
        <f aca="false">J15+J19-J20-J21</f>
        <v>261996.41</v>
      </c>
      <c r="K23" s="176" t="n">
        <f aca="false">K15+K19-K20-K21</f>
        <v>257054.265</v>
      </c>
      <c r="L23" s="176" t="n">
        <f aca="false">L15+L19-L20-L21</f>
        <v>256665.12</v>
      </c>
      <c r="M23" s="176" t="n">
        <f aca="false">M15+M19-M20-M21</f>
        <v>256275.975</v>
      </c>
      <c r="N23" s="176" t="n">
        <f aca="false">N15+N19-N20-N21</f>
        <v>255886.83</v>
      </c>
      <c r="O23" s="176" t="n">
        <f aca="false">O15+O19-O20-O21</f>
        <v>255497.685</v>
      </c>
      <c r="P23" s="176" t="n">
        <f aca="false">P15+P19-P20-P21</f>
        <v>255108.54</v>
      </c>
      <c r="Q23" s="176" t="n">
        <f aca="false">Q15+Q19-Q20-Q21</f>
        <v>254719.395</v>
      </c>
      <c r="R23" s="204"/>
    </row>
    <row r="24" customFormat="false" ht="12.75" hidden="false" customHeight="false" outlineLevel="0" collapsed="false">
      <c r="D24" s="470"/>
      <c r="E24" s="470"/>
      <c r="F24" s="310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204"/>
    </row>
    <row r="25" customFormat="false" ht="12.75" hidden="false" customHeight="false" outlineLevel="0" collapsed="false">
      <c r="A25" s="243" t="s">
        <v>224</v>
      </c>
      <c r="D25" s="470"/>
      <c r="E25" s="470"/>
      <c r="F25" s="310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204"/>
    </row>
    <row r="26" customFormat="false" ht="12.75" hidden="false" customHeight="false" outlineLevel="0" collapsed="false">
      <c r="A26" s="471" t="s">
        <v>173</v>
      </c>
      <c r="D26" s="464" t="n">
        <f aca="false">$B$28*(D15+D19-D20-D127)</f>
        <v>48691.335</v>
      </c>
      <c r="E26" s="464" t="n">
        <f aca="false">$B$28*(E15+E19-E20-E127)</f>
        <v>51154.95</v>
      </c>
      <c r="F26" s="465" t="n">
        <f aca="false">$B$28*(F15+F19-F20-F127)</f>
        <v>60221.7</v>
      </c>
      <c r="G26" s="184" t="n">
        <f aca="false">$B$28*(G15+G19-G20-G127)</f>
        <v>36381.268</v>
      </c>
      <c r="H26" s="184" t="n">
        <f aca="false">$B$28*(H15+H19-H20-H127)</f>
        <v>42733.39455</v>
      </c>
      <c r="I26" s="184" t="n">
        <f aca="false">$B$28*(I15+I19-I20-I127)</f>
        <v>53480.498995</v>
      </c>
      <c r="J26" s="184" t="n">
        <f aca="false">$B$28*(J15+J19-J20-J127)</f>
        <v>45660.7853625</v>
      </c>
      <c r="K26" s="184" t="n">
        <f aca="false">$B$28*(K15+K19-K20-K127)</f>
        <v>58449.4536395</v>
      </c>
      <c r="L26" s="184" t="n">
        <f aca="false">$B$28*(L15+L19-L20-L127)</f>
        <v>59961.7264015</v>
      </c>
      <c r="M26" s="184" t="n">
        <f aca="false">$B$28*(M15+M19-M20-M127)</f>
        <v>61048.9714835</v>
      </c>
      <c r="N26" s="184" t="n">
        <f aca="false">$B$28*(N15+N19-N20-N127)</f>
        <v>61500.032132</v>
      </c>
      <c r="O26" s="184" t="n">
        <f aca="false">$B$28*(O15+O19-O20-O127)</f>
        <v>74808.378953</v>
      </c>
      <c r="P26" s="184" t="n">
        <f aca="false">$B$28*(P15+P19-P20-P127)</f>
        <v>74257.367646</v>
      </c>
      <c r="Q26" s="184" t="n">
        <f aca="false">$B$28*(Q15+Q19-Q20-Q127)</f>
        <v>73655.987944</v>
      </c>
      <c r="R26" s="204"/>
    </row>
    <row r="27" customFormat="false" ht="12.75" hidden="false" customHeight="false" outlineLevel="0" collapsed="false">
      <c r="A27" s="471" t="s">
        <v>125</v>
      </c>
      <c r="D27" s="599" t="n">
        <f aca="false">D28-D26</f>
        <v>0</v>
      </c>
      <c r="E27" s="599" t="n">
        <f aca="false">E28-E26</f>
        <v>0</v>
      </c>
      <c r="F27" s="600" t="n">
        <f aca="false">F28-F26</f>
        <v>0</v>
      </c>
      <c r="G27" s="167" t="n">
        <f aca="false">G28-G26</f>
        <v>50548.2824</v>
      </c>
      <c r="H27" s="167" t="n">
        <f aca="false">H28-H26</f>
        <v>57779.700825</v>
      </c>
      <c r="I27" s="167" t="n">
        <f aca="false">I28-I26</f>
        <v>51082.736705</v>
      </c>
      <c r="J27" s="167" t="n">
        <f aca="false">J28-J26</f>
        <v>55207.8324875</v>
      </c>
      <c r="K27" s="167" t="n">
        <f aca="false">K28-K26</f>
        <v>40516.4383855</v>
      </c>
      <c r="L27" s="167" t="n">
        <f aca="false">L28-L26</f>
        <v>38854.3447985</v>
      </c>
      <c r="M27" s="167" t="n">
        <f aca="false">M28-M26</f>
        <v>37617.2788915</v>
      </c>
      <c r="N27" s="167" t="n">
        <f aca="false">N28-N26</f>
        <v>37016.397418</v>
      </c>
      <c r="O27" s="167" t="n">
        <f aca="false">O28-O26</f>
        <v>23558.229772</v>
      </c>
      <c r="P27" s="167" t="n">
        <f aca="false">P28-P26</f>
        <v>23959.420254</v>
      </c>
      <c r="Q27" s="167" t="n">
        <f aca="false">Q28-Q26</f>
        <v>24410.979131</v>
      </c>
      <c r="R27" s="204"/>
    </row>
    <row r="28" customFormat="false" ht="12.75" hidden="false" customHeight="false" outlineLevel="0" collapsed="false">
      <c r="A28" s="475" t="s">
        <v>174</v>
      </c>
      <c r="B28" s="558" t="n">
        <f aca="false">Assumptions!D10</f>
        <v>0.385</v>
      </c>
      <c r="D28" s="601" t="n">
        <f aca="false">SUM(D26:D27)</f>
        <v>48691.335</v>
      </c>
      <c r="E28" s="601" t="n">
        <f aca="false">SUM(E26:E27)</f>
        <v>51154.95</v>
      </c>
      <c r="F28" s="601" t="n">
        <f aca="false">SUM(F26:F27)</f>
        <v>60221.7</v>
      </c>
      <c r="G28" s="176" t="n">
        <f aca="false">$B$28*G23</f>
        <v>86929.5504</v>
      </c>
      <c r="H28" s="176" t="n">
        <f aca="false">$B$28*H23</f>
        <v>100513.095375</v>
      </c>
      <c r="I28" s="176" t="n">
        <f aca="false">$B$28*I23</f>
        <v>104563.2357</v>
      </c>
      <c r="J28" s="176" t="n">
        <f aca="false">$B$28*J23</f>
        <v>100868.61785</v>
      </c>
      <c r="K28" s="176" t="n">
        <f aca="false">$B$28*K23</f>
        <v>98965.892025</v>
      </c>
      <c r="L28" s="176" t="n">
        <f aca="false">$B$28*L23</f>
        <v>98816.0712</v>
      </c>
      <c r="M28" s="176" t="n">
        <f aca="false">$B$28*M23</f>
        <v>98666.250375</v>
      </c>
      <c r="N28" s="176" t="n">
        <f aca="false">$B$28*N23</f>
        <v>98516.42955</v>
      </c>
      <c r="O28" s="176" t="n">
        <f aca="false">$B$28*O23</f>
        <v>98366.608725</v>
      </c>
      <c r="P28" s="176" t="n">
        <f aca="false">$B$28*P23</f>
        <v>98216.7879</v>
      </c>
      <c r="Q28" s="176" t="n">
        <f aca="false">$B$28*Q23</f>
        <v>98066.967075</v>
      </c>
      <c r="R28" s="204"/>
    </row>
    <row r="29" customFormat="false" ht="12.75" hidden="false" customHeight="false" outlineLevel="0" collapsed="false">
      <c r="A29" s="187"/>
      <c r="B29" s="146"/>
      <c r="D29" s="469"/>
      <c r="E29" s="469"/>
      <c r="F29" s="333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04"/>
    </row>
    <row r="30" customFormat="false" ht="12.75" hidden="false" customHeight="false" outlineLevel="0" collapsed="false">
      <c r="A30" s="348" t="s">
        <v>204</v>
      </c>
      <c r="B30" s="96"/>
      <c r="C30" s="16"/>
      <c r="D30" s="457" t="n">
        <f aca="false">D23-D28</f>
        <v>26008.665</v>
      </c>
      <c r="E30" s="457" t="n">
        <f aca="false">E23-E28</f>
        <v>30481.05</v>
      </c>
      <c r="F30" s="457" t="n">
        <f aca="false">F23-F28</f>
        <v>45759.3</v>
      </c>
      <c r="G30" s="176" t="n">
        <f aca="false">G23-G28</f>
        <v>138861.4896</v>
      </c>
      <c r="H30" s="176" t="n">
        <f aca="false">H23-H28</f>
        <v>160559.879625</v>
      </c>
      <c r="I30" s="176" t="n">
        <f aca="false">I23-I28</f>
        <v>167029.5843</v>
      </c>
      <c r="J30" s="176" t="n">
        <f aca="false">J23-J28</f>
        <v>161127.79215</v>
      </c>
      <c r="K30" s="176" t="n">
        <f aca="false">K23-K28</f>
        <v>158088.372975</v>
      </c>
      <c r="L30" s="176" t="n">
        <f aca="false">L23-L28</f>
        <v>157849.0488</v>
      </c>
      <c r="M30" s="176" t="n">
        <f aca="false">M23-M28</f>
        <v>157609.724625</v>
      </c>
      <c r="N30" s="176" t="n">
        <f aca="false">N23-N28</f>
        <v>157370.40045</v>
      </c>
      <c r="O30" s="176" t="n">
        <f aca="false">O23-O28</f>
        <v>157131.076275</v>
      </c>
      <c r="P30" s="176" t="n">
        <f aca="false">P23-P28</f>
        <v>156891.7521</v>
      </c>
      <c r="Q30" s="176" t="n">
        <f aca="false">Q23-Q28</f>
        <v>156652.427925</v>
      </c>
      <c r="R30" s="477" t="s">
        <v>197</v>
      </c>
    </row>
    <row r="31" customFormat="false" ht="12.75" hidden="false" customHeight="false" outlineLevel="0" collapsed="false">
      <c r="A31" s="187"/>
      <c r="B31" s="146"/>
      <c r="D31" s="470"/>
      <c r="E31" s="470"/>
      <c r="F31" s="310"/>
      <c r="G31" s="187"/>
      <c r="H31" s="187"/>
      <c r="I31" s="187"/>
      <c r="J31" s="187"/>
      <c r="K31" s="187"/>
      <c r="L31" s="187"/>
      <c r="M31" s="347"/>
      <c r="N31" s="187"/>
      <c r="O31" s="187"/>
      <c r="P31" s="187"/>
      <c r="Q31" s="187"/>
      <c r="R31" s="477" t="s">
        <v>225</v>
      </c>
    </row>
    <row r="32" customFormat="false" ht="12.75" hidden="false" customHeight="false" outlineLevel="0" collapsed="false">
      <c r="A32" s="348" t="s">
        <v>226</v>
      </c>
      <c r="B32" s="146"/>
      <c r="D32" s="478" t="n">
        <f aca="false">D30+D27+D21</f>
        <v>77779.665</v>
      </c>
      <c r="E32" s="478" t="n">
        <f aca="false">E30+E27+E21</f>
        <v>81715.05</v>
      </c>
      <c r="F32" s="478" t="n">
        <f aca="false">F30+F27+F21</f>
        <v>96198.3</v>
      </c>
      <c r="G32" s="184" t="n">
        <f aca="false">G30+G27+G21</f>
        <v>245678.732</v>
      </c>
      <c r="H32" s="184" t="n">
        <f aca="false">H30+H27+H21</f>
        <v>277912.60545</v>
      </c>
      <c r="I32" s="184" t="n">
        <f aca="false">I30+I27+I21</f>
        <v>282006.501005</v>
      </c>
      <c r="J32" s="184" t="n">
        <f aca="false">J30+J27+J21</f>
        <v>281059.2146375</v>
      </c>
      <c r="K32" s="184" t="n">
        <f aca="false">K30+K27+K21</f>
        <v>263717.5463605</v>
      </c>
      <c r="L32" s="184" t="n">
        <f aca="false">L30+L27+L21</f>
        <v>262205.2735985</v>
      </c>
      <c r="M32" s="184" t="n">
        <f aca="false">M30+M27+M21</f>
        <v>261118.0285165</v>
      </c>
      <c r="N32" s="184" t="n">
        <f aca="false">N30+N27+N21</f>
        <v>260666.967868</v>
      </c>
      <c r="O32" s="184" t="n">
        <f aca="false">O30+O27+O21</f>
        <v>247358.621047</v>
      </c>
      <c r="P32" s="184" t="n">
        <f aca="false">P30+P27+P21</f>
        <v>247909.632354</v>
      </c>
      <c r="Q32" s="184" t="n">
        <f aca="false">Q30+Q27+Q21</f>
        <v>248511.012056</v>
      </c>
      <c r="R32" s="477" t="s">
        <v>227</v>
      </c>
    </row>
    <row r="33" customFormat="false" ht="12.75" hidden="false" customHeight="false" outlineLevel="0" collapsed="false">
      <c r="A33" s="348" t="s">
        <v>209</v>
      </c>
      <c r="B33" s="479"/>
      <c r="D33" s="310" t="n">
        <f aca="false">D114</f>
        <v>43398</v>
      </c>
      <c r="E33" s="310" t="n">
        <f aca="false">E114</f>
        <v>78412</v>
      </c>
      <c r="F33" s="310" t="n">
        <f aca="false">F114</f>
        <v>246076</v>
      </c>
      <c r="G33" s="187" t="n">
        <f aca="false">G114</f>
        <v>220271</v>
      </c>
      <c r="H33" s="187" t="n">
        <f aca="false">H114</f>
        <v>288077</v>
      </c>
      <c r="I33" s="187" t="n">
        <f aca="false">I114</f>
        <v>55294</v>
      </c>
      <c r="J33" s="187" t="n">
        <f aca="false">J114</f>
        <v>25943</v>
      </c>
      <c r="K33" s="187" t="n">
        <f aca="false">K114</f>
        <v>25943</v>
      </c>
      <c r="L33" s="187" t="n">
        <f aca="false">L114</f>
        <v>25943</v>
      </c>
      <c r="M33" s="187" t="n">
        <f aca="false">M114</f>
        <v>25943</v>
      </c>
      <c r="N33" s="187" t="n">
        <f aca="false">N114</f>
        <v>25943</v>
      </c>
      <c r="O33" s="187" t="n">
        <f aca="false">O114</f>
        <v>25943</v>
      </c>
      <c r="P33" s="187" t="n">
        <f aca="false">P114</f>
        <v>25943</v>
      </c>
      <c r="Q33" s="187" t="n">
        <f aca="false">Q114</f>
        <v>25943</v>
      </c>
      <c r="R33" s="488" t="n">
        <f aca="false">Scenarios!C5</f>
        <v>9</v>
      </c>
    </row>
    <row r="34" customFormat="false" ht="12.75" hidden="false" customHeight="false" outlineLevel="0" collapsed="false">
      <c r="A34" s="187"/>
      <c r="B34" s="479"/>
      <c r="D34" s="310"/>
      <c r="E34" s="310"/>
      <c r="F34" s="310"/>
      <c r="G34" s="187"/>
      <c r="H34" s="187"/>
      <c r="I34" s="187"/>
      <c r="J34" s="187"/>
      <c r="K34" s="187"/>
      <c r="L34" s="187"/>
      <c r="M34" s="602"/>
      <c r="N34" s="187"/>
      <c r="O34" s="187"/>
      <c r="P34" s="187"/>
      <c r="Q34" s="187"/>
      <c r="R34" s="602"/>
    </row>
    <row r="35" customFormat="false" ht="13.5" hidden="false" customHeight="false" outlineLevel="0" collapsed="false">
      <c r="A35" s="603" t="s">
        <v>179</v>
      </c>
      <c r="B35" s="483"/>
      <c r="C35" s="483"/>
      <c r="D35" s="484" t="n">
        <f aca="false">D32-D33</f>
        <v>34381.665</v>
      </c>
      <c r="E35" s="484" t="n">
        <f aca="false">E32-E33</f>
        <v>3303.04999999999</v>
      </c>
      <c r="F35" s="484" t="n">
        <f aca="false">F32-F33</f>
        <v>-149877.7</v>
      </c>
      <c r="G35" s="485" t="n">
        <f aca="false">G32-G33</f>
        <v>25407.732</v>
      </c>
      <c r="H35" s="485" t="n">
        <f aca="false">H32-H33</f>
        <v>-10164.39455</v>
      </c>
      <c r="I35" s="485" t="n">
        <f aca="false">I32-I33</f>
        <v>226712.501005</v>
      </c>
      <c r="J35" s="485" t="n">
        <f aca="false">J32-J33</f>
        <v>255116.2146375</v>
      </c>
      <c r="K35" s="485" t="n">
        <f aca="false">K32-K33</f>
        <v>237774.5463605</v>
      </c>
      <c r="L35" s="485" t="n">
        <f aca="false">L32-L33</f>
        <v>236262.2735985</v>
      </c>
      <c r="M35" s="485" t="n">
        <f aca="false">M32-M33</f>
        <v>235175.0285165</v>
      </c>
      <c r="N35" s="485" t="n">
        <f aca="false">N32-N33</f>
        <v>234723.967868</v>
      </c>
      <c r="O35" s="485" t="n">
        <f aca="false">O32-O33</f>
        <v>221415.621047</v>
      </c>
      <c r="P35" s="485" t="n">
        <f aca="false">P32-P33</f>
        <v>221966.632354</v>
      </c>
      <c r="Q35" s="485" t="n">
        <f aca="false">Q32-Q33+R35</f>
        <v>3103099.012056</v>
      </c>
      <c r="R35" s="486" t="n">
        <f aca="false">Q15*R33</f>
        <v>2880531</v>
      </c>
    </row>
    <row r="36" customFormat="false" ht="13.5" hidden="false" customHeight="false" outlineLevel="0" collapsed="false">
      <c r="A36" s="341"/>
      <c r="B36" s="16"/>
      <c r="C36" s="16"/>
      <c r="D36" s="176"/>
      <c r="E36" s="176"/>
      <c r="F36" s="176"/>
      <c r="G36" s="176"/>
      <c r="H36" s="176"/>
      <c r="I36" s="176"/>
      <c r="J36" s="176"/>
      <c r="K36" s="176"/>
      <c r="L36" s="176"/>
      <c r="M36" s="187"/>
      <c r="N36" s="176"/>
      <c r="O36" s="176"/>
      <c r="P36" s="176"/>
      <c r="Q36" s="176"/>
      <c r="R36" s="187"/>
    </row>
    <row r="37" customFormat="false" ht="15" hidden="true" customHeight="false" outlineLevel="0" collapsed="false">
      <c r="A37" s="604" t="s">
        <v>289</v>
      </c>
      <c r="B37" s="238"/>
      <c r="C37" s="66"/>
      <c r="D37" s="605"/>
      <c r="E37" s="605"/>
      <c r="F37" s="605"/>
      <c r="G37" s="605"/>
      <c r="H37" s="605"/>
      <c r="I37" s="605"/>
      <c r="J37" s="605"/>
      <c r="K37" s="606"/>
      <c r="L37" s="176"/>
      <c r="M37" s="176"/>
      <c r="N37" s="176"/>
      <c r="O37" s="176"/>
      <c r="P37" s="176"/>
      <c r="Q37" s="176"/>
      <c r="R37" s="607"/>
    </row>
    <row r="38" customFormat="false" ht="12.75" hidden="true" customHeight="false" outlineLevel="0" collapsed="false">
      <c r="A38" s="17" t="s">
        <v>290</v>
      </c>
      <c r="B38" s="187" t="n">
        <f aca="false">[7]Assumptions!D14</f>
        <v>880000</v>
      </c>
      <c r="C38" s="72" t="s">
        <v>291</v>
      </c>
      <c r="D38" s="340" t="s">
        <v>292</v>
      </c>
      <c r="E38" s="608" t="n">
        <v>0.18</v>
      </c>
      <c r="F38" s="187"/>
      <c r="G38" s="609" t="n">
        <v>1.8</v>
      </c>
      <c r="H38" s="609" t="n">
        <v>2.1</v>
      </c>
      <c r="I38" s="610" t="n">
        <f aca="false">H38*(1+$E38)</f>
        <v>2.478</v>
      </c>
      <c r="J38" s="610" t="n">
        <f aca="false">I38*(1+$E38)</f>
        <v>2.92404</v>
      </c>
      <c r="K38" s="611" t="n">
        <f aca="false">J38*(1+$E38)</f>
        <v>3.4503672</v>
      </c>
      <c r="L38" s="176"/>
      <c r="M38" s="176"/>
      <c r="N38" s="176"/>
      <c r="O38" s="176"/>
      <c r="P38" s="176"/>
      <c r="Q38" s="176"/>
      <c r="R38" s="347"/>
    </row>
    <row r="39" customFormat="false" ht="12.75" hidden="true" customHeight="false" outlineLevel="0" collapsed="false">
      <c r="A39" s="17" t="s">
        <v>293</v>
      </c>
      <c r="B39" s="16"/>
      <c r="C39" s="16"/>
      <c r="D39" s="187"/>
      <c r="E39" s="187"/>
      <c r="F39" s="187"/>
      <c r="G39" s="184" t="n">
        <f aca="false">G38*$B$38+'[7]Lev. Consolid'!D23</f>
        <v>1598151.24068936</v>
      </c>
      <c r="H39" s="184" t="n">
        <f aca="false">H38*$B$38+'[7]Lev. Consolid'!E23</f>
        <v>1869086.96886623</v>
      </c>
      <c r="I39" s="184" t="n">
        <f aca="false">I38*$B$38+'[7]Lev. Consolid'!F23</f>
        <v>2202540.17929541</v>
      </c>
      <c r="J39" s="184" t="n">
        <f aca="false">J38*$B$38+'[7]Lev. Consolid'!G23</f>
        <v>2596490.75060874</v>
      </c>
      <c r="K39" s="224" t="n">
        <f aca="false">K38*$B$38+'[7]Lev. Consolid'!H23</f>
        <v>3061623.4340022</v>
      </c>
      <c r="L39" s="176"/>
      <c r="M39" s="176"/>
      <c r="N39" s="176"/>
      <c r="O39" s="176"/>
      <c r="P39" s="176"/>
      <c r="Q39" s="176"/>
      <c r="R39" s="187"/>
    </row>
    <row r="40" customFormat="false" ht="12.75" hidden="true" customHeight="false" outlineLevel="0" collapsed="false">
      <c r="A40" s="17" t="s">
        <v>294</v>
      </c>
      <c r="B40" s="229" t="n">
        <f aca="false">K60-K61</f>
        <v>2202303.18130193</v>
      </c>
      <c r="C40" s="16"/>
      <c r="D40" s="187"/>
      <c r="E40" s="187"/>
      <c r="F40" s="187"/>
      <c r="G40" s="16"/>
      <c r="H40" s="16"/>
      <c r="I40" s="16"/>
      <c r="J40" s="16"/>
      <c r="K40" s="64"/>
      <c r="L40" s="176"/>
      <c r="M40" s="176"/>
      <c r="N40" s="176"/>
      <c r="O40" s="176"/>
      <c r="P40" s="176"/>
      <c r="Q40" s="176"/>
      <c r="R40" s="187"/>
    </row>
    <row r="41" customFormat="false" ht="12.75" hidden="true" customHeight="false" outlineLevel="0" collapsed="false">
      <c r="A41" s="612" t="s">
        <v>295</v>
      </c>
      <c r="B41" s="613" t="n">
        <f aca="false">[7]Assumptions!D15</f>
        <v>28.3</v>
      </c>
      <c r="C41" s="16"/>
      <c r="D41" s="187"/>
      <c r="E41" s="187"/>
      <c r="F41" s="187"/>
      <c r="G41" s="16"/>
      <c r="H41" s="16"/>
      <c r="I41" s="16"/>
      <c r="J41" s="16"/>
      <c r="K41" s="64"/>
      <c r="L41" s="176"/>
      <c r="M41" s="176"/>
      <c r="N41" s="176"/>
      <c r="O41" s="176"/>
      <c r="P41" s="176"/>
      <c r="Q41" s="176"/>
      <c r="R41" s="187"/>
    </row>
    <row r="42" customFormat="false" ht="12.75" hidden="true" customHeight="false" outlineLevel="0" collapsed="false">
      <c r="A42" s="17" t="s">
        <v>296</v>
      </c>
      <c r="B42" s="187" t="n">
        <f aca="false">B40/B41</f>
        <v>77819.9003993617</v>
      </c>
      <c r="C42" s="16"/>
      <c r="D42" s="187"/>
      <c r="E42" s="187"/>
      <c r="F42" s="187"/>
      <c r="G42" s="16"/>
      <c r="H42" s="16"/>
      <c r="I42" s="16"/>
      <c r="J42" s="16"/>
      <c r="K42" s="64"/>
      <c r="L42" s="176"/>
      <c r="M42" s="176"/>
      <c r="N42" s="176"/>
      <c r="O42" s="176"/>
      <c r="P42" s="176"/>
      <c r="Q42" s="176"/>
      <c r="R42" s="187"/>
    </row>
    <row r="43" customFormat="false" ht="12.75" hidden="true" customHeight="false" outlineLevel="0" collapsed="false">
      <c r="A43" s="17" t="s">
        <v>297</v>
      </c>
      <c r="B43" s="191" t="n">
        <f aca="false">B38+B42</f>
        <v>957819.900399362</v>
      </c>
      <c r="C43" s="72" t="s">
        <v>291</v>
      </c>
      <c r="D43" s="187"/>
      <c r="E43" s="187"/>
      <c r="F43" s="187"/>
      <c r="G43" s="614" t="n">
        <f aca="false">G39/$B$43</f>
        <v>1.66853000237625</v>
      </c>
      <c r="H43" s="614" t="n">
        <f aca="false">H39/$B$43</f>
        <v>1.95139709259217</v>
      </c>
      <c r="I43" s="614" t="n">
        <f aca="false">I39/$B$43</f>
        <v>2.29953478558659</v>
      </c>
      <c r="J43" s="614" t="n">
        <f aca="false">J39/$B$43</f>
        <v>2.71083399867359</v>
      </c>
      <c r="K43" s="615" t="n">
        <f aca="false">K39/$B$43</f>
        <v>3.19645001395947</v>
      </c>
      <c r="L43" s="176"/>
      <c r="M43" s="176"/>
      <c r="N43" s="176"/>
      <c r="O43" s="176"/>
      <c r="P43" s="176"/>
      <c r="Q43" s="176"/>
      <c r="R43" s="187"/>
    </row>
    <row r="44" customFormat="false" ht="13.5" hidden="true" customHeight="false" outlineLevel="0" collapsed="false">
      <c r="A44" s="17" t="s">
        <v>298</v>
      </c>
      <c r="B44" s="191"/>
      <c r="C44" s="16"/>
      <c r="D44" s="16"/>
      <c r="E44" s="16"/>
      <c r="F44" s="16"/>
      <c r="G44" s="616" t="n">
        <f aca="false">G43-G38</f>
        <v>-0.131469997623754</v>
      </c>
      <c r="H44" s="616" t="n">
        <f aca="false">H43-H38</f>
        <v>-0.148602907407835</v>
      </c>
      <c r="I44" s="616" t="n">
        <f aca="false">I43-I38</f>
        <v>-0.178465214413413</v>
      </c>
      <c r="J44" s="616" t="n">
        <f aca="false">J43-J38</f>
        <v>-0.213206001326415</v>
      </c>
      <c r="K44" s="617" t="n">
        <f aca="false">K43-K38</f>
        <v>-0.253917186040532</v>
      </c>
      <c r="L44" s="176"/>
      <c r="M44" s="176"/>
      <c r="N44" s="176"/>
      <c r="O44" s="176"/>
      <c r="P44" s="176"/>
      <c r="Q44" s="176"/>
      <c r="R44" s="187"/>
    </row>
    <row r="45" customFormat="false" ht="12.75" hidden="true" customHeight="false" outlineLevel="0" collapsed="false">
      <c r="A45" s="618"/>
      <c r="B45" s="75"/>
      <c r="C45" s="75"/>
      <c r="D45" s="236"/>
      <c r="E45" s="236"/>
      <c r="F45" s="236"/>
      <c r="G45" s="236"/>
      <c r="H45" s="236"/>
      <c r="I45" s="236"/>
      <c r="J45" s="236"/>
      <c r="K45" s="223"/>
      <c r="L45" s="176"/>
      <c r="M45" s="176"/>
      <c r="N45" s="176"/>
      <c r="O45" s="176"/>
      <c r="P45" s="176"/>
      <c r="Q45" s="176"/>
      <c r="R45" s="187"/>
    </row>
    <row r="46" customFormat="false" ht="15" hidden="true" customHeight="false" outlineLevel="0" collapsed="false">
      <c r="A46" s="604" t="s">
        <v>299</v>
      </c>
      <c r="B46" s="238"/>
      <c r="C46" s="66"/>
      <c r="D46" s="605"/>
      <c r="E46" s="605"/>
      <c r="F46" s="605"/>
      <c r="G46" s="605"/>
      <c r="H46" s="605"/>
      <c r="I46" s="605"/>
      <c r="J46" s="605"/>
      <c r="K46" s="606"/>
      <c r="L46" s="176"/>
      <c r="M46" s="176"/>
      <c r="N46" s="176"/>
      <c r="O46" s="176"/>
      <c r="P46" s="176"/>
      <c r="Q46" s="176"/>
      <c r="R46" s="187"/>
    </row>
    <row r="47" customFormat="false" ht="12.75" hidden="true" customHeight="false" outlineLevel="0" collapsed="false">
      <c r="A47" s="17" t="str">
        <f aca="false">'[7]Lev. Consolid'!A40</f>
        <v>ENRON'S BASE EPS</v>
      </c>
      <c r="B47" s="187" t="n">
        <f aca="false">'[7]Lev. Consolid'!B40</f>
        <v>880000</v>
      </c>
      <c r="C47" s="72" t="str">
        <f aca="false">'[7]Lev. Consolid'!C40</f>
        <v>M Shares</v>
      </c>
      <c r="D47" s="340" t="str">
        <f aca="false">'[7]Lev. Consolid'!D40</f>
        <v>Growth of</v>
      </c>
      <c r="E47" s="608" t="n">
        <f aca="false">'[7]Lev. Consolid'!E40</f>
        <v>0.18</v>
      </c>
      <c r="F47" s="187"/>
      <c r="G47" s="609" t="n">
        <f aca="false">'[7]Lev. Consolid'!G40</f>
        <v>1.8</v>
      </c>
      <c r="H47" s="609" t="n">
        <f aca="false">'[7]Lev. Consolid'!H40</f>
        <v>2.1</v>
      </c>
      <c r="I47" s="610" t="n">
        <f aca="false">'[7]Lev. Consolid'!I40</f>
        <v>2.478</v>
      </c>
      <c r="J47" s="610" t="n">
        <f aca="false">'[7]Lev. Consolid'!J40</f>
        <v>2.92404</v>
      </c>
      <c r="K47" s="611" t="n">
        <f aca="false">'[7]Lev. Consolid'!K40</f>
        <v>3.4503672</v>
      </c>
      <c r="L47" s="176"/>
      <c r="M47" s="176"/>
      <c r="N47" s="176"/>
      <c r="O47" s="176"/>
      <c r="P47" s="176"/>
      <c r="Q47" s="176"/>
      <c r="R47" s="187"/>
    </row>
    <row r="48" customFormat="false" ht="12.75" hidden="true" customHeight="false" outlineLevel="0" collapsed="false">
      <c r="A48" s="17" t="str">
        <f aca="false">'[7]Lev. Consolid'!A41</f>
        <v>  Pro Forma Earnings (Inc. interest on Dividends)</v>
      </c>
      <c r="B48" s="16"/>
      <c r="C48" s="16"/>
      <c r="D48" s="187"/>
      <c r="E48" s="187"/>
      <c r="F48" s="187"/>
      <c r="G48" s="184" t="n">
        <f aca="false">'[7]Lev. Consolid'!G41</f>
        <v>1571310.0635874</v>
      </c>
      <c r="H48" s="184" t="n">
        <f aca="false">'[7]Lev. Consolid'!H41</f>
        <v>1867883.30856615</v>
      </c>
      <c r="I48" s="184" t="n">
        <f aca="false">'[7]Lev. Consolid'!I41</f>
        <v>2234207.33579491</v>
      </c>
      <c r="J48" s="184" t="n">
        <f aca="false">'[7]Lev. Consolid'!J41</f>
        <v>2636288.44627366</v>
      </c>
      <c r="K48" s="224" t="n">
        <f aca="false">'[7]Lev. Consolid'!K41</f>
        <v>3103214.23275242</v>
      </c>
      <c r="L48" s="176"/>
      <c r="M48" s="176"/>
      <c r="N48" s="176"/>
      <c r="O48" s="176"/>
      <c r="P48" s="176"/>
      <c r="Q48" s="176"/>
      <c r="R48" s="187"/>
    </row>
    <row r="49" customFormat="false" ht="12.75" hidden="true" customHeight="false" outlineLevel="0" collapsed="false">
      <c r="A49" s="17" t="str">
        <f aca="false">'[7]Lev. Consolid'!A42</f>
        <v>Equity Investment</v>
      </c>
      <c r="B49" s="229" t="n">
        <f aca="false">'[7]Lev. Consolid'!B42</f>
        <v>926797.865041366</v>
      </c>
      <c r="C49" s="16"/>
      <c r="D49" s="187"/>
      <c r="E49" s="187"/>
      <c r="F49" s="187"/>
      <c r="G49" s="16"/>
      <c r="H49" s="16"/>
      <c r="I49" s="16"/>
      <c r="J49" s="16"/>
      <c r="K49" s="64"/>
      <c r="L49" s="176"/>
      <c r="M49" s="176"/>
      <c r="N49" s="176"/>
      <c r="O49" s="176"/>
      <c r="P49" s="176"/>
      <c r="Q49" s="176"/>
      <c r="R49" s="187"/>
    </row>
    <row r="50" customFormat="false" ht="12.75" hidden="true" customHeight="false" outlineLevel="0" collapsed="false">
      <c r="A50" s="612" t="str">
        <f aca="false">'[7]Lev. Consolid'!A43</f>
        <v>Price of ENE Shares</v>
      </c>
      <c r="B50" s="613" t="n">
        <f aca="false">'[7]Lev. Consolid'!B43</f>
        <v>28.3</v>
      </c>
      <c r="C50" s="16"/>
      <c r="D50" s="187"/>
      <c r="E50" s="187"/>
      <c r="F50" s="187"/>
      <c r="G50" s="16"/>
      <c r="H50" s="16"/>
      <c r="I50" s="16"/>
      <c r="J50" s="16"/>
      <c r="K50" s="64"/>
      <c r="L50" s="176"/>
      <c r="M50" s="176"/>
      <c r="N50" s="176"/>
      <c r="O50" s="176"/>
      <c r="P50" s="176"/>
      <c r="Q50" s="176"/>
      <c r="R50" s="187"/>
    </row>
    <row r="51" customFormat="false" ht="12.75" hidden="true" customHeight="false" outlineLevel="0" collapsed="false">
      <c r="A51" s="17" t="str">
        <f aca="false">'[7]Lev. Consolid'!A44</f>
        <v>Additional Shares</v>
      </c>
      <c r="B51" s="187" t="n">
        <f aca="false">'[7]Lev. Consolid'!B44</f>
        <v>32749.0411675394</v>
      </c>
      <c r="C51" s="16"/>
      <c r="D51" s="187"/>
      <c r="E51" s="187"/>
      <c r="F51" s="187"/>
      <c r="G51" s="16"/>
      <c r="H51" s="16"/>
      <c r="I51" s="16"/>
      <c r="J51" s="16"/>
      <c r="K51" s="64"/>
      <c r="L51" s="176"/>
      <c r="M51" s="176"/>
      <c r="N51" s="176"/>
      <c r="O51" s="176"/>
      <c r="P51" s="176"/>
      <c r="Q51" s="176"/>
      <c r="R51" s="187"/>
    </row>
    <row r="52" customFormat="false" ht="12.75" hidden="true" customHeight="false" outlineLevel="0" collapsed="false">
      <c r="A52" s="17" t="str">
        <f aca="false">'[7]Lev. Consolid'!A45</f>
        <v>PRO FORMA EPS</v>
      </c>
      <c r="B52" s="191" t="n">
        <f aca="false">'[7]Lev. Consolid'!B45</f>
        <v>912749.041167539</v>
      </c>
      <c r="C52" s="72" t="str">
        <f aca="false">'[7]Lev. Consolid'!C45</f>
        <v>M Shares</v>
      </c>
      <c r="D52" s="187"/>
      <c r="E52" s="187"/>
      <c r="F52" s="187"/>
      <c r="G52" s="614" t="n">
        <f aca="false">'[7]Lev. Consolid'!G45</f>
        <v>1.7215137926384</v>
      </c>
      <c r="H52" s="614" t="n">
        <f aca="false">'[7]Lev. Consolid'!H45</f>
        <v>2.04643688935225</v>
      </c>
      <c r="I52" s="614" t="n">
        <f aca="false">'[7]Lev. Consolid'!I45</f>
        <v>2.44777834325307</v>
      </c>
      <c r="J52" s="614" t="n">
        <f aca="false">'[7]Lev. Consolid'!J45</f>
        <v>2.8882949500571</v>
      </c>
      <c r="K52" s="615" t="n">
        <f aca="false">'[7]Lev. Consolid'!K45</f>
        <v>3.39985482623236</v>
      </c>
      <c r="L52" s="176"/>
      <c r="M52" s="176"/>
      <c r="N52" s="176"/>
      <c r="O52" s="176"/>
      <c r="P52" s="176"/>
      <c r="Q52" s="176"/>
      <c r="R52" s="187"/>
    </row>
    <row r="53" customFormat="false" ht="13.5" hidden="true" customHeight="false" outlineLevel="0" collapsed="false">
      <c r="A53" s="17" t="str">
        <f aca="false">'[7]Lev. Consolid'!A46</f>
        <v>  Incremenal EPS</v>
      </c>
      <c r="B53" s="191"/>
      <c r="C53" s="16"/>
      <c r="D53" s="16"/>
      <c r="E53" s="16"/>
      <c r="F53" s="16"/>
      <c r="G53" s="616" t="n">
        <f aca="false">'[7]Lev. Consolid'!G46</f>
        <v>-0.0784862073615984</v>
      </c>
      <c r="H53" s="616" t="n">
        <f aca="false">'[7]Lev. Consolid'!H46</f>
        <v>-0.0535631106477474</v>
      </c>
      <c r="I53" s="616" t="n">
        <f aca="false">'[7]Lev. Consolid'!I46</f>
        <v>-0.0302216567469324</v>
      </c>
      <c r="J53" s="616" t="n">
        <f aca="false">'[7]Lev. Consolid'!J46</f>
        <v>-0.0357450499429044</v>
      </c>
      <c r="K53" s="617" t="n">
        <f aca="false">'[7]Lev. Consolid'!K46</f>
        <v>-0.050512373767643</v>
      </c>
      <c r="L53" s="176"/>
      <c r="M53" s="176"/>
      <c r="N53" s="176"/>
      <c r="O53" s="176"/>
      <c r="P53" s="176"/>
      <c r="Q53" s="176"/>
      <c r="R53" s="187"/>
    </row>
    <row r="54" customFormat="false" ht="12.75" hidden="true" customHeight="false" outlineLevel="0" collapsed="false">
      <c r="A54" s="618"/>
      <c r="B54" s="75"/>
      <c r="C54" s="75"/>
      <c r="D54" s="236"/>
      <c r="E54" s="236"/>
      <c r="F54" s="236"/>
      <c r="G54" s="236"/>
      <c r="H54" s="236"/>
      <c r="I54" s="236"/>
      <c r="J54" s="236"/>
      <c r="K54" s="223"/>
      <c r="L54" s="176"/>
      <c r="M54" s="176"/>
      <c r="N54" s="176"/>
      <c r="O54" s="176"/>
      <c r="P54" s="176"/>
      <c r="Q54" s="176"/>
      <c r="R54" s="187"/>
    </row>
    <row r="55" customFormat="false" ht="12.75" hidden="false" customHeight="false" outlineLevel="0" collapsed="false">
      <c r="A55" s="341"/>
      <c r="B55" s="16"/>
      <c r="C55" s="1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87"/>
    </row>
    <row r="56" customFormat="false" ht="13.5" hidden="false" customHeight="false" outlineLevel="0" collapsed="false"/>
    <row r="57" customFormat="false" ht="15" hidden="false" customHeight="false" outlineLevel="0" collapsed="false">
      <c r="F57" s="0"/>
      <c r="G57" s="490" t="s">
        <v>181</v>
      </c>
      <c r="H57" s="491" t="str">
        <f aca="false">(Assumptions!D8-1&amp;" EBITDA")</f>
        <v>2001 EBITDA</v>
      </c>
      <c r="I57" s="491" t="s">
        <v>230</v>
      </c>
      <c r="J57" s="492"/>
      <c r="K57" s="493" t="s">
        <v>182</v>
      </c>
      <c r="L57" s="493"/>
      <c r="M57" s="493"/>
      <c r="P57" s="187"/>
      <c r="Q57" s="187"/>
    </row>
    <row r="58" customFormat="false" ht="15" hidden="false" customHeight="false" outlineLevel="0" collapsed="false">
      <c r="F58" s="0"/>
      <c r="G58" s="494" t="s">
        <v>183</v>
      </c>
      <c r="H58" s="495" t="s">
        <v>136</v>
      </c>
      <c r="I58" s="495" t="s">
        <v>231</v>
      </c>
      <c r="J58" s="496"/>
      <c r="K58" s="497" t="n">
        <v>0.108</v>
      </c>
      <c r="L58" s="498" t="n">
        <f aca="false">Scenarios!C6</f>
        <v>0.075</v>
      </c>
      <c r="M58" s="499" t="n">
        <f aca="false">Asset3Drate+0.025</f>
        <v>0.15</v>
      </c>
      <c r="P58" s="187"/>
      <c r="Q58" s="187"/>
    </row>
    <row r="59" customFormat="false" ht="12.75" hidden="false" customHeight="false" outlineLevel="0" collapsed="false">
      <c r="F59" s="308" t="s">
        <v>184</v>
      </c>
      <c r="G59" s="369"/>
      <c r="H59" s="500"/>
      <c r="I59" s="500"/>
      <c r="J59" s="370"/>
      <c r="K59" s="370"/>
      <c r="L59" s="370"/>
      <c r="M59" s="372"/>
      <c r="P59" s="187"/>
      <c r="Q59" s="187"/>
    </row>
    <row r="60" customFormat="false" ht="13.5" hidden="false" customHeight="false" outlineLevel="0" collapsed="false">
      <c r="F60" s="0" t="n">
        <f aca="false">IF(ABS(G60-L60)&lt;0.05,0,1)</f>
        <v>0</v>
      </c>
      <c r="G60" s="564" t="n">
        <v>2774093.74620238</v>
      </c>
      <c r="H60" s="502" t="n">
        <f aca="false">CitrusPurPrice/G15</f>
        <v>11.2641202637777</v>
      </c>
      <c r="I60" s="503"/>
      <c r="J60" s="504"/>
      <c r="K60" s="565" t="n">
        <f aca="false">NPV(K58,$H$35:$Q$35)</f>
        <v>2202303.18130193</v>
      </c>
      <c r="L60" s="565" t="n">
        <f aca="false">NPV(L58,$H$35:$Q$35)</f>
        <v>2774093.74620238</v>
      </c>
      <c r="M60" s="378" t="n">
        <f aca="false">NPV(M58,$H$35:$Q$35)</f>
        <v>1676174.78004034</v>
      </c>
      <c r="P60" s="187"/>
      <c r="Q60" s="187"/>
      <c r="R60" s="187"/>
    </row>
    <row r="61" customFormat="false" ht="12.75" hidden="false" customHeight="false" outlineLevel="0" collapsed="false">
      <c r="F61" s="0"/>
      <c r="G61" s="187"/>
      <c r="H61" s="507"/>
      <c r="I61" s="507"/>
      <c r="J61" s="187"/>
      <c r="K61" s="508"/>
      <c r="M61" s="187"/>
      <c r="P61" s="187"/>
      <c r="Q61" s="187"/>
      <c r="R61" s="187"/>
    </row>
    <row r="62" customFormat="false" ht="12.75" hidden="false" customHeight="false" outlineLevel="0" collapsed="false">
      <c r="F62" s="187"/>
      <c r="G62" s="187"/>
      <c r="H62" s="187"/>
      <c r="I62" s="187"/>
      <c r="J62" s="187"/>
      <c r="K62" s="348"/>
      <c r="N62" s="187"/>
      <c r="O62" s="187"/>
      <c r="P62" s="187"/>
      <c r="Q62" s="187"/>
    </row>
    <row r="63" customFormat="false" ht="12.75" hidden="false" customHeight="false" outlineLevel="0" collapsed="false">
      <c r="D63" s="187"/>
      <c r="E63" s="187"/>
      <c r="F63" s="187"/>
      <c r="G63" s="187"/>
      <c r="H63" s="187"/>
      <c r="I63" s="204"/>
      <c r="J63" s="204"/>
      <c r="K63" s="204"/>
      <c r="L63" s="204"/>
      <c r="M63" s="204"/>
      <c r="N63" s="204"/>
      <c r="O63" s="204"/>
      <c r="P63" s="204"/>
      <c r="Q63" s="204"/>
    </row>
    <row r="64" customFormat="false" ht="15.75" hidden="false" customHeight="false" outlineLevel="0" collapsed="false">
      <c r="A64" s="284" t="s">
        <v>232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204"/>
    </row>
    <row r="65" customFormat="false" ht="12.75" hidden="false" customHeight="false" outlineLevel="0" collapsed="false">
      <c r="D65" s="292"/>
      <c r="E65" s="292"/>
      <c r="F65" s="293"/>
      <c r="G65" s="294" t="s">
        <v>156</v>
      </c>
      <c r="H65" s="295"/>
      <c r="I65" s="293"/>
      <c r="J65" s="293"/>
      <c r="K65" s="296"/>
      <c r="L65" s="293"/>
      <c r="M65" s="296"/>
      <c r="N65" s="296"/>
      <c r="O65" s="296"/>
      <c r="P65" s="296"/>
      <c r="Q65" s="75"/>
    </row>
    <row r="66" customFormat="false" ht="13.5" hidden="false" customHeight="false" outlineLevel="0" collapsed="false">
      <c r="D66" s="297" t="n">
        <v>1998</v>
      </c>
      <c r="E66" s="297" t="n">
        <v>1999</v>
      </c>
      <c r="F66" s="297" t="n">
        <v>2000</v>
      </c>
      <c r="G66" s="297" t="n">
        <v>2001</v>
      </c>
      <c r="H66" s="298" t="n">
        <v>2002</v>
      </c>
      <c r="I66" s="298" t="n">
        <v>2003</v>
      </c>
      <c r="J66" s="298" t="n">
        <v>2004</v>
      </c>
      <c r="K66" s="298" t="n">
        <v>2005</v>
      </c>
      <c r="L66" s="298" t="n">
        <v>2006</v>
      </c>
      <c r="M66" s="299" t="n">
        <v>2007</v>
      </c>
      <c r="N66" s="299" t="n">
        <v>2008</v>
      </c>
      <c r="O66" s="299" t="n">
        <v>2009</v>
      </c>
      <c r="P66" s="299" t="n">
        <v>2010</v>
      </c>
      <c r="Q66" s="300" t="n">
        <v>2011</v>
      </c>
    </row>
    <row r="67" customFormat="false" ht="13.5" hidden="false" customHeight="false" outlineLevel="0" collapsed="false">
      <c r="B67" s="566" t="s">
        <v>281</v>
      </c>
      <c r="C67" s="567" t="s">
        <v>282</v>
      </c>
      <c r="F67" s="526" t="s">
        <v>157</v>
      </c>
      <c r="G67" s="297" t="n">
        <v>1</v>
      </c>
      <c r="H67" s="298" t="n">
        <v>2</v>
      </c>
      <c r="I67" s="298" t="n">
        <v>3</v>
      </c>
      <c r="J67" s="298" t="n">
        <v>4</v>
      </c>
      <c r="K67" s="298" t="n">
        <v>5</v>
      </c>
      <c r="L67" s="298" t="n">
        <v>6</v>
      </c>
      <c r="M67" s="298" t="n">
        <v>7</v>
      </c>
      <c r="N67" s="298" t="n">
        <v>8</v>
      </c>
      <c r="O67" s="298" t="n">
        <v>9</v>
      </c>
      <c r="P67" s="298" t="n">
        <v>10</v>
      </c>
      <c r="Q67" s="302" t="n">
        <v>11</v>
      </c>
    </row>
    <row r="68" customFormat="false" ht="13.5" hidden="false" customHeight="false" outlineLevel="0" collapsed="false">
      <c r="A68" s="619" t="str">
        <f aca="false">A2</f>
        <v>Citrus</v>
      </c>
      <c r="B68" s="569" t="n">
        <f aca="false">Assumptions!C28</f>
        <v>1</v>
      </c>
      <c r="C68" s="570" t="n">
        <v>1</v>
      </c>
      <c r="D68" s="620" t="n">
        <f aca="false">D76*$B$68</f>
        <v>0</v>
      </c>
      <c r="E68" s="620" t="n">
        <f aca="false">E76*$B$68</f>
        <v>0</v>
      </c>
      <c r="F68" s="620" t="n">
        <f aca="false">F76*$B$68</f>
        <v>0</v>
      </c>
      <c r="G68" s="416" t="n">
        <f aca="false">CHOOSE($C$68,G76,G79,G82)*$B$68+G69</f>
        <v>346941</v>
      </c>
      <c r="H68" s="416" t="n">
        <f aca="false">CHOOSE($C$68,H76,H79,H82)*$B$68+H69</f>
        <v>402886</v>
      </c>
      <c r="I68" s="416" t="n">
        <f aca="false">CHOOSE($C$68,I76,I79,I82)*$B$68+I69</f>
        <v>429460</v>
      </c>
      <c r="J68" s="416" t="n">
        <f aca="false">CHOOSE($C$68,J76,J79,J82)*$B$68+J69</f>
        <v>433496</v>
      </c>
      <c r="K68" s="416" t="n">
        <f aca="false">CHOOSE($C$68,K76,K79,K82)*$B$68+K69</f>
        <v>431092</v>
      </c>
      <c r="L68" s="416" t="n">
        <f aca="false">CHOOSE($C$68,L76,L79,L82)*$B$68+L69</f>
        <v>431092</v>
      </c>
      <c r="M68" s="416" t="n">
        <f aca="false">CHOOSE($C$68,M76,M79,M82)*$B$68+M69</f>
        <v>431092</v>
      </c>
      <c r="N68" s="416" t="n">
        <f aca="false">CHOOSE($C$68,N76,N79,N82)*$B$68+N69</f>
        <v>431092</v>
      </c>
      <c r="O68" s="416" t="n">
        <f aca="false">CHOOSE($C$68,O76,O79,O82)*$B$68+O69</f>
        <v>431092</v>
      </c>
      <c r="P68" s="416" t="n">
        <f aca="false">CHOOSE($C$68,P76,P79,P82)*$B$68+P69</f>
        <v>431092</v>
      </c>
      <c r="Q68" s="416" t="n">
        <f aca="false">CHOOSE($C$68,Q76,Q79,Q82)*$B$68+Q69</f>
        <v>431092</v>
      </c>
    </row>
    <row r="69" customFormat="false" ht="12.75" hidden="false" customHeight="false" outlineLevel="0" collapsed="false">
      <c r="C69" s="571"/>
      <c r="D69" s="305"/>
      <c r="E69" s="305"/>
      <c r="F69" s="557" t="s">
        <v>283</v>
      </c>
      <c r="G69" s="187" t="n">
        <v>0</v>
      </c>
      <c r="H69" s="187" t="n">
        <v>0</v>
      </c>
      <c r="I69" s="187" t="n">
        <v>0</v>
      </c>
      <c r="J69" s="187" t="n">
        <v>0</v>
      </c>
      <c r="K69" s="187" t="n">
        <v>0</v>
      </c>
      <c r="L69" s="187" t="n">
        <v>0</v>
      </c>
      <c r="M69" s="187"/>
      <c r="N69" s="187"/>
      <c r="O69" s="187"/>
      <c r="P69" s="187"/>
      <c r="Q69" s="187"/>
    </row>
    <row r="70" customFormat="false" ht="12.75" hidden="false" customHeight="false" outlineLevel="0" collapsed="false">
      <c r="C70" s="572"/>
      <c r="F70" s="340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customFormat="false" ht="12.75" hidden="false" customHeight="false" outlineLevel="0" collapsed="false">
      <c r="A71" s="53" t="str">
        <f aca="false">Assumptions!B33</f>
        <v>1. Base Case</v>
      </c>
      <c r="B71" s="566" t="s">
        <v>300</v>
      </c>
      <c r="C71" s="572"/>
    </row>
    <row r="72" customFormat="false" ht="12.75" hidden="false" customHeight="false" outlineLevel="0" collapsed="false">
      <c r="A72" s="386" t="s">
        <v>48</v>
      </c>
      <c r="B72" s="566" t="s">
        <v>301</v>
      </c>
      <c r="C72" s="572"/>
    </row>
    <row r="73" customFormat="false" ht="12.75" hidden="false" customHeight="false" outlineLevel="0" collapsed="false">
      <c r="A73" s="621" t="s">
        <v>302</v>
      </c>
      <c r="C73" s="572"/>
      <c r="D73" s="527" t="n">
        <v>284831</v>
      </c>
      <c r="E73" s="527" t="n">
        <v>334506</v>
      </c>
      <c r="F73" s="527" t="n">
        <v>168145</v>
      </c>
      <c r="G73" s="508" t="n">
        <v>345452</v>
      </c>
      <c r="H73" s="508" t="n">
        <v>402636</v>
      </c>
      <c r="I73" s="508" t="n">
        <v>429210</v>
      </c>
      <c r="J73" s="508" t="n">
        <v>433246</v>
      </c>
      <c r="K73" s="508" t="n">
        <v>430842</v>
      </c>
      <c r="L73" s="187" t="n">
        <f aca="false">K73</f>
        <v>430842</v>
      </c>
      <c r="M73" s="187" t="n">
        <f aca="false">L73</f>
        <v>430842</v>
      </c>
      <c r="N73" s="187" t="n">
        <f aca="false">M73</f>
        <v>430842</v>
      </c>
      <c r="O73" s="187" t="n">
        <f aca="false">N73</f>
        <v>430842</v>
      </c>
      <c r="P73" s="187" t="n">
        <f aca="false">O73</f>
        <v>430842</v>
      </c>
      <c r="Q73" s="187" t="n">
        <f aca="false">P73</f>
        <v>430842</v>
      </c>
    </row>
    <row r="74" customFormat="false" ht="12.75" hidden="false" customHeight="false" outlineLevel="0" collapsed="false">
      <c r="A74" s="621" t="s">
        <v>240</v>
      </c>
      <c r="C74" s="572"/>
      <c r="D74" s="622" t="n">
        <v>306174</v>
      </c>
      <c r="E74" s="623" t="n">
        <v>304885</v>
      </c>
      <c r="F74" s="623" t="n">
        <v>307928</v>
      </c>
      <c r="G74" s="624" t="n">
        <v>1489</v>
      </c>
      <c r="H74" s="624" t="n">
        <v>250</v>
      </c>
      <c r="I74" s="624" t="n">
        <v>250</v>
      </c>
      <c r="J74" s="624" t="n">
        <v>250</v>
      </c>
      <c r="K74" s="624" t="n">
        <v>250</v>
      </c>
      <c r="L74" s="241" t="n">
        <f aca="false">K74</f>
        <v>250</v>
      </c>
      <c r="M74" s="241" t="n">
        <f aca="false">L74</f>
        <v>250</v>
      </c>
      <c r="N74" s="241" t="n">
        <f aca="false">M74</f>
        <v>250</v>
      </c>
      <c r="O74" s="241" t="n">
        <f aca="false">N74</f>
        <v>250</v>
      </c>
      <c r="P74" s="241" t="n">
        <f aca="false">O74</f>
        <v>250</v>
      </c>
      <c r="Q74" s="241" t="n">
        <f aca="false">P74</f>
        <v>250</v>
      </c>
    </row>
    <row r="75" customFormat="false" ht="12.75" hidden="false" customHeight="false" outlineLevel="0" collapsed="false">
      <c r="A75" s="386" t="s">
        <v>241</v>
      </c>
      <c r="B75" s="625" t="n">
        <v>1</v>
      </c>
      <c r="C75" s="572"/>
      <c r="D75" s="511" t="n">
        <f aca="false">SUM(D73:D74)*$B$75</f>
        <v>591005</v>
      </c>
      <c r="E75" s="511" t="n">
        <f aca="false">SUM(E73:E74)*$B$75</f>
        <v>639391</v>
      </c>
      <c r="F75" s="511" t="n">
        <f aca="false">SUM(F73:F74)*$B$75</f>
        <v>476073</v>
      </c>
      <c r="G75" s="184" t="n">
        <f aca="false">SUM(G73:G74)*$B$75</f>
        <v>346941</v>
      </c>
      <c r="H75" s="184" t="n">
        <f aca="false">SUM(H73:H74)*$B$75</f>
        <v>402886</v>
      </c>
      <c r="I75" s="184" t="n">
        <f aca="false">SUM(I73:I74)*$B$75</f>
        <v>429460</v>
      </c>
      <c r="J75" s="184" t="n">
        <f aca="false">SUM(J73:J74)*$B$75</f>
        <v>433496</v>
      </c>
      <c r="K75" s="184" t="n">
        <f aca="false">SUM(K73:K74)*$B$75</f>
        <v>431092</v>
      </c>
      <c r="L75" s="184" t="n">
        <f aca="false">SUM(L73:L74)*$B$75</f>
        <v>431092</v>
      </c>
      <c r="M75" s="184" t="n">
        <f aca="false">SUM(M73:M74)*$B$75</f>
        <v>431092</v>
      </c>
      <c r="N75" s="184" t="n">
        <f aca="false">SUM(N73:N74)*$B$75</f>
        <v>431092</v>
      </c>
      <c r="O75" s="184" t="n">
        <f aca="false">SUM(O73:O74)*$B$75</f>
        <v>431092</v>
      </c>
      <c r="P75" s="184" t="n">
        <f aca="false">SUM(P73:P74)*$B$75</f>
        <v>431092</v>
      </c>
      <c r="Q75" s="184" t="n">
        <f aca="false">SUM(Q73:Q74)*$B$75</f>
        <v>431092</v>
      </c>
    </row>
    <row r="76" customFormat="false" ht="12.75" hidden="false" customHeight="false" outlineLevel="0" collapsed="false">
      <c r="A76" s="328" t="s">
        <v>241</v>
      </c>
      <c r="B76" s="70"/>
      <c r="C76" s="572"/>
      <c r="D76" s="457"/>
      <c r="E76" s="457"/>
      <c r="F76" s="457"/>
      <c r="G76" s="176" t="n">
        <f aca="false">G75</f>
        <v>346941</v>
      </c>
      <c r="H76" s="176" t="n">
        <f aca="false">H75</f>
        <v>402886</v>
      </c>
      <c r="I76" s="176" t="n">
        <f aca="false">I75</f>
        <v>429460</v>
      </c>
      <c r="J76" s="176" t="n">
        <f aca="false">J75</f>
        <v>433496</v>
      </c>
      <c r="K76" s="176" t="n">
        <f aca="false">K75</f>
        <v>431092</v>
      </c>
      <c r="L76" s="176" t="n">
        <f aca="false">L75</f>
        <v>431092</v>
      </c>
      <c r="M76" s="176" t="n">
        <f aca="false">M75</f>
        <v>431092</v>
      </c>
      <c r="N76" s="176" t="n">
        <f aca="false">N75</f>
        <v>431092</v>
      </c>
      <c r="O76" s="176" t="n">
        <f aca="false">O75</f>
        <v>431092</v>
      </c>
      <c r="P76" s="176" t="n">
        <f aca="false">P75</f>
        <v>431092</v>
      </c>
      <c r="Q76" s="176" t="n">
        <f aca="false">Q75</f>
        <v>431092</v>
      </c>
    </row>
    <row r="77" customFormat="false" ht="12.75" hidden="false" customHeight="false" outlineLevel="0" collapsed="false">
      <c r="C77" s="572"/>
      <c r="D77" s="516"/>
      <c r="F77" s="34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</row>
    <row r="78" customFormat="false" ht="12.75" hidden="true" customHeight="false" outlineLevel="1" collapsed="false">
      <c r="C78" s="572"/>
    </row>
    <row r="79" customFormat="false" ht="12.75" hidden="true" customHeight="false" outlineLevel="1" collapsed="false">
      <c r="A79" s="53" t="str">
        <f aca="false">Assumptions!B34</f>
        <v>2. Optimistic</v>
      </c>
      <c r="B79" s="577" t="n">
        <v>1.1</v>
      </c>
      <c r="C79" s="572" t="n">
        <v>2</v>
      </c>
      <c r="D79" s="310" t="n">
        <f aca="false">D76</f>
        <v>0</v>
      </c>
      <c r="E79" s="310" t="n">
        <f aca="false">E76</f>
        <v>0</v>
      </c>
      <c r="F79" s="310" t="n">
        <f aca="false">F76</f>
        <v>0</v>
      </c>
      <c r="G79" s="185" t="n">
        <f aca="false">F79*$B$79+G80</f>
        <v>0</v>
      </c>
      <c r="H79" s="185" t="n">
        <f aca="false">G79*$B$79+H80</f>
        <v>0</v>
      </c>
      <c r="I79" s="185" t="n">
        <f aca="false">H79*$B$79+I80</f>
        <v>0</v>
      </c>
      <c r="J79" s="185" t="n">
        <f aca="false">I79*$B$79+J80</f>
        <v>0</v>
      </c>
      <c r="K79" s="185" t="n">
        <f aca="false">J79*$B$79+K80</f>
        <v>0</v>
      </c>
      <c r="L79" s="185" t="n">
        <f aca="false">K79*$B$79+L80</f>
        <v>0</v>
      </c>
      <c r="M79" s="185" t="n">
        <f aca="false">L79*$B$79+M80</f>
        <v>0</v>
      </c>
      <c r="N79" s="185" t="n">
        <f aca="false">M79*$B$79+N80</f>
        <v>0</v>
      </c>
      <c r="O79" s="185" t="n">
        <f aca="false">N79*$B$79+O80</f>
        <v>0</v>
      </c>
      <c r="P79" s="185" t="n">
        <f aca="false">O79*$B$79+P80</f>
        <v>0</v>
      </c>
      <c r="Q79" s="185" t="n">
        <f aca="false">P79*$B$79+Q80</f>
        <v>0</v>
      </c>
    </row>
    <row r="80" customFormat="false" ht="12.75" hidden="true" customHeight="false" outlineLevel="1" collapsed="false">
      <c r="A80" s="53"/>
      <c r="C80" s="572"/>
      <c r="D80" s="305"/>
      <c r="E80" s="305"/>
      <c r="F80" s="557" t="s">
        <v>283</v>
      </c>
      <c r="G80" s="187" t="n">
        <v>0</v>
      </c>
      <c r="H80" s="187" t="n">
        <v>0</v>
      </c>
      <c r="I80" s="187" t="n">
        <f aca="false">H80</f>
        <v>0</v>
      </c>
      <c r="J80" s="187" t="n">
        <f aca="false">I80</f>
        <v>0</v>
      </c>
      <c r="K80" s="187" t="n">
        <f aca="false">J80</f>
        <v>0</v>
      </c>
      <c r="L80" s="187" t="n">
        <f aca="false">K80</f>
        <v>0</v>
      </c>
      <c r="M80" s="187" t="n">
        <f aca="false">L80</f>
        <v>0</v>
      </c>
      <c r="N80" s="187" t="n">
        <f aca="false">M80</f>
        <v>0</v>
      </c>
      <c r="O80" s="187" t="n">
        <f aca="false">N80</f>
        <v>0</v>
      </c>
      <c r="P80" s="187" t="n">
        <f aca="false">O80</f>
        <v>0</v>
      </c>
      <c r="Q80" s="187" t="n">
        <f aca="false">P80</f>
        <v>0</v>
      </c>
    </row>
    <row r="81" customFormat="false" ht="12.75" hidden="true" customHeight="false" outlineLevel="1" collapsed="false">
      <c r="A81" s="53"/>
      <c r="C81" s="572"/>
    </row>
    <row r="82" customFormat="false" ht="12.75" hidden="true" customHeight="false" outlineLevel="1" collapsed="false">
      <c r="A82" s="53" t="str">
        <f aca="false">Assumptions!B35</f>
        <v>3. Pessimistic</v>
      </c>
      <c r="B82" s="577" t="n">
        <v>0.9</v>
      </c>
      <c r="C82" s="572" t="n">
        <v>3</v>
      </c>
      <c r="D82" s="310" t="n">
        <f aca="false">D76</f>
        <v>0</v>
      </c>
      <c r="E82" s="310" t="n">
        <f aca="false">E76</f>
        <v>0</v>
      </c>
      <c r="F82" s="310" t="n">
        <f aca="false">F76</f>
        <v>0</v>
      </c>
      <c r="G82" s="185" t="n">
        <f aca="false">F82*$B$82+G83</f>
        <v>0</v>
      </c>
      <c r="H82" s="185" t="n">
        <f aca="false">G82*$B$82+H83</f>
        <v>0</v>
      </c>
      <c r="I82" s="185" t="n">
        <f aca="false">H82*$B$82+I83</f>
        <v>0</v>
      </c>
      <c r="J82" s="185" t="n">
        <f aca="false">I82*$B$82+J83</f>
        <v>0</v>
      </c>
      <c r="K82" s="185" t="n">
        <f aca="false">J82*$B$82+K83</f>
        <v>0</v>
      </c>
      <c r="L82" s="185" t="n">
        <f aca="false">K82*$B$82+L83</f>
        <v>0</v>
      </c>
      <c r="M82" s="185" t="n">
        <f aca="false">L82*$B$82+M83</f>
        <v>0</v>
      </c>
      <c r="N82" s="185" t="n">
        <f aca="false">M82*$B$82+N83</f>
        <v>0</v>
      </c>
      <c r="O82" s="185" t="n">
        <f aca="false">N82*$B$82+O83</f>
        <v>0</v>
      </c>
      <c r="P82" s="185" t="n">
        <f aca="false">O82*$B$82+P83</f>
        <v>0</v>
      </c>
      <c r="Q82" s="185" t="n">
        <f aca="false">P82*$B$82+Q83</f>
        <v>0</v>
      </c>
    </row>
    <row r="83" customFormat="false" ht="13.5" hidden="true" customHeight="false" outlineLevel="1" collapsed="false">
      <c r="C83" s="579"/>
      <c r="D83" s="305"/>
      <c r="E83" s="305"/>
      <c r="F83" s="557" t="s">
        <v>283</v>
      </c>
      <c r="G83" s="187" t="n">
        <v>0</v>
      </c>
      <c r="H83" s="187" t="n">
        <v>0</v>
      </c>
      <c r="I83" s="187" t="n">
        <f aca="false">H83</f>
        <v>0</v>
      </c>
      <c r="J83" s="187" t="n">
        <f aca="false">I83</f>
        <v>0</v>
      </c>
      <c r="K83" s="187" t="n">
        <f aca="false">J83</f>
        <v>0</v>
      </c>
      <c r="L83" s="187" t="n">
        <f aca="false">K83</f>
        <v>0</v>
      </c>
      <c r="M83" s="187" t="n">
        <f aca="false">L83</f>
        <v>0</v>
      </c>
      <c r="N83" s="187" t="n">
        <f aca="false">M83</f>
        <v>0</v>
      </c>
      <c r="O83" s="187" t="n">
        <f aca="false">N83</f>
        <v>0</v>
      </c>
      <c r="P83" s="187" t="n">
        <f aca="false">O83</f>
        <v>0</v>
      </c>
      <c r="Q83" s="187" t="n">
        <f aca="false">P83</f>
        <v>0</v>
      </c>
    </row>
    <row r="84" customFormat="false" ht="12.75" hidden="true" customHeight="false" outlineLevel="1" collapsed="false"/>
    <row r="86" customFormat="false" ht="15.75" hidden="false" customHeight="false" outlineLevel="0" collapsed="false">
      <c r="A86" s="284" t="s">
        <v>245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204"/>
    </row>
    <row r="87" customFormat="false" ht="14.25" hidden="false" customHeight="true" outlineLevel="0" collapsed="false">
      <c r="A87" s="288"/>
      <c r="B87" s="204"/>
      <c r="C87" s="204"/>
      <c r="D87" s="292"/>
      <c r="E87" s="292"/>
      <c r="F87" s="293"/>
      <c r="G87" s="294" t="s">
        <v>156</v>
      </c>
      <c r="H87" s="295"/>
      <c r="I87" s="293"/>
      <c r="J87" s="293"/>
      <c r="K87" s="296"/>
      <c r="L87" s="293"/>
      <c r="M87" s="296"/>
      <c r="N87" s="296"/>
      <c r="O87" s="296"/>
      <c r="P87" s="296"/>
      <c r="Q87" s="75"/>
      <c r="R87" s="204"/>
    </row>
    <row r="88" customFormat="false" ht="16.5" hidden="false" customHeight="false" outlineLevel="0" collapsed="false">
      <c r="A88" s="288"/>
      <c r="B88" s="204"/>
      <c r="C88" s="204"/>
      <c r="D88" s="297" t="n">
        <v>1998</v>
      </c>
      <c r="E88" s="297" t="n">
        <v>1999</v>
      </c>
      <c r="F88" s="297" t="n">
        <v>2000</v>
      </c>
      <c r="G88" s="297" t="n">
        <v>2001</v>
      </c>
      <c r="H88" s="298" t="n">
        <v>2002</v>
      </c>
      <c r="I88" s="298" t="n">
        <v>2003</v>
      </c>
      <c r="J88" s="298" t="n">
        <v>2004</v>
      </c>
      <c r="K88" s="298" t="n">
        <v>2005</v>
      </c>
      <c r="L88" s="298" t="n">
        <v>2006</v>
      </c>
      <c r="M88" s="299" t="n">
        <v>2007</v>
      </c>
      <c r="N88" s="299" t="n">
        <v>2008</v>
      </c>
      <c r="O88" s="299" t="n">
        <v>2009</v>
      </c>
      <c r="P88" s="299" t="n">
        <v>2010</v>
      </c>
      <c r="Q88" s="300" t="n">
        <v>2011</v>
      </c>
      <c r="R88" s="204"/>
    </row>
    <row r="89" customFormat="false" ht="13.5" hidden="false" customHeight="false" outlineLevel="0" collapsed="false">
      <c r="B89" s="566" t="s">
        <v>281</v>
      </c>
      <c r="C89" s="567" t="s">
        <v>282</v>
      </c>
      <c r="F89" s="526" t="s">
        <v>157</v>
      </c>
      <c r="G89" s="297" t="n">
        <v>1</v>
      </c>
      <c r="H89" s="298" t="n">
        <v>2</v>
      </c>
      <c r="I89" s="298" t="n">
        <v>3</v>
      </c>
      <c r="J89" s="298" t="n">
        <v>4</v>
      </c>
      <c r="K89" s="298" t="n">
        <v>5</v>
      </c>
      <c r="L89" s="298" t="n">
        <v>6</v>
      </c>
      <c r="M89" s="298" t="n">
        <v>7</v>
      </c>
      <c r="N89" s="298" t="n">
        <v>8</v>
      </c>
      <c r="O89" s="298" t="n">
        <v>9</v>
      </c>
      <c r="P89" s="298" t="n">
        <v>10</v>
      </c>
      <c r="Q89" s="302" t="n">
        <v>11</v>
      </c>
    </row>
    <row r="90" customFormat="false" ht="13.5" hidden="false" customHeight="false" outlineLevel="0" collapsed="false">
      <c r="A90" s="619" t="str">
        <f aca="false">A2</f>
        <v>Citrus</v>
      </c>
      <c r="B90" s="569" t="n">
        <f aca="false">Assumptions!C28</f>
        <v>1</v>
      </c>
      <c r="C90" s="580" t="n">
        <v>1</v>
      </c>
      <c r="D90" s="626" t="n">
        <f aca="false">D100*$B$90</f>
        <v>371819</v>
      </c>
      <c r="E90" s="626" t="n">
        <f aca="false">E100*$B$90</f>
        <v>431944</v>
      </c>
      <c r="F90" s="626" t="n">
        <f aca="false">F100*$B$90</f>
        <v>261030</v>
      </c>
      <c r="G90" s="416" t="n">
        <f aca="false">CHOOSE($C$90,G100,G103,G106)*$B$90+G91</f>
        <v>100664</v>
      </c>
      <c r="H90" s="416" t="n">
        <f aca="false">CHOOSE($C$90,H100,H103,H106)*$B$90+H91</f>
        <v>108845</v>
      </c>
      <c r="I90" s="416" t="n">
        <f aca="false">CHOOSE($C$90,I100,I103,I106)*$B$90+I91</f>
        <v>104444</v>
      </c>
      <c r="J90" s="416" t="n">
        <f aca="false">CHOOSE($C$90,J100,J103,J106)*$B$90+J91</f>
        <v>109651</v>
      </c>
      <c r="K90" s="416" t="n">
        <f aca="false">CHOOSE($C$90,K100,K103,K106)*$B$90+K91</f>
        <v>111033</v>
      </c>
      <c r="L90" s="416" t="n">
        <f aca="false">CHOOSE($C$90,L100,L103,L106)*$B$90+L91</f>
        <v>111033</v>
      </c>
      <c r="M90" s="416" t="n">
        <f aca="false">CHOOSE($C$90,M100,M103,M106)*$B$90+M91</f>
        <v>111033</v>
      </c>
      <c r="N90" s="416" t="n">
        <f aca="false">CHOOSE($C$90,N100,N103,N106)*$B$90+N91</f>
        <v>111033</v>
      </c>
      <c r="O90" s="416" t="n">
        <f aca="false">CHOOSE($C$90,O100,O103,O106)*$B$90+O91</f>
        <v>111033</v>
      </c>
      <c r="P90" s="416" t="n">
        <f aca="false">CHOOSE($C$90,P100,P103,P106)*$B$90+P91</f>
        <v>111033</v>
      </c>
      <c r="Q90" s="416" t="n">
        <f aca="false">CHOOSE($C$90,Q100,Q103,Q106)*$B$90+Q91</f>
        <v>111033</v>
      </c>
    </row>
    <row r="91" customFormat="false" ht="12.75" hidden="false" customHeight="false" outlineLevel="0" collapsed="false">
      <c r="C91" s="582"/>
      <c r="D91" s="305"/>
      <c r="E91" s="305"/>
      <c r="F91" s="557" t="s">
        <v>283</v>
      </c>
      <c r="G91" s="187" t="n">
        <v>0</v>
      </c>
      <c r="H91" s="187" t="n">
        <v>0</v>
      </c>
      <c r="I91" s="187" t="n">
        <v>0</v>
      </c>
      <c r="J91" s="187" t="n">
        <v>0</v>
      </c>
      <c r="K91" s="187" t="n">
        <v>0</v>
      </c>
      <c r="L91" s="187" t="n">
        <v>0</v>
      </c>
      <c r="M91" s="187" t="n">
        <v>0</v>
      </c>
      <c r="N91" s="187" t="n">
        <v>0</v>
      </c>
      <c r="O91" s="187" t="n">
        <v>0</v>
      </c>
      <c r="P91" s="187" t="n">
        <v>0</v>
      </c>
      <c r="Q91" s="187" t="n">
        <v>0</v>
      </c>
    </row>
    <row r="92" customFormat="false" ht="12.75" hidden="false" customHeight="false" outlineLevel="0" collapsed="false">
      <c r="C92" s="583"/>
      <c r="D92" s="584"/>
      <c r="E92" s="584"/>
    </row>
    <row r="93" customFormat="false" ht="12.75" hidden="false" customHeight="false" outlineLevel="0" collapsed="false">
      <c r="A93" s="53" t="str">
        <f aca="false">Assumptions!B39</f>
        <v>1. Base Case</v>
      </c>
      <c r="C93" s="583"/>
    </row>
    <row r="94" customFormat="false" ht="12.75" hidden="false" customHeight="false" outlineLevel="0" collapsed="false">
      <c r="B94" s="566" t="s">
        <v>300</v>
      </c>
      <c r="C94" s="583"/>
    </row>
    <row r="95" customFormat="false" ht="12.75" hidden="false" customHeight="false" outlineLevel="0" collapsed="false">
      <c r="A95" s="512" t="s">
        <v>303</v>
      </c>
      <c r="B95" s="566" t="s">
        <v>301</v>
      </c>
      <c r="C95" s="583"/>
    </row>
    <row r="96" customFormat="false" ht="12.75" hidden="false" customHeight="false" outlineLevel="0" collapsed="false">
      <c r="A96" s="621" t="s">
        <v>304</v>
      </c>
      <c r="B96" s="70"/>
      <c r="C96" s="583"/>
      <c r="D96" s="527" t="n">
        <v>78061</v>
      </c>
      <c r="E96" s="527" t="n">
        <v>81667</v>
      </c>
      <c r="F96" s="527" t="n">
        <v>78982</v>
      </c>
      <c r="G96" s="508" t="n">
        <v>66149</v>
      </c>
      <c r="H96" s="508" t="n">
        <v>73376</v>
      </c>
      <c r="I96" s="508" t="n">
        <v>69037</v>
      </c>
      <c r="J96" s="508" t="n">
        <v>69491</v>
      </c>
      <c r="K96" s="508" t="n">
        <v>69991</v>
      </c>
      <c r="L96" s="187" t="n">
        <f aca="false">K96</f>
        <v>69991</v>
      </c>
      <c r="M96" s="187" t="n">
        <f aca="false">L96</f>
        <v>69991</v>
      </c>
      <c r="N96" s="187" t="n">
        <f aca="false">M96</f>
        <v>69991</v>
      </c>
      <c r="O96" s="187" t="n">
        <f aca="false">N96</f>
        <v>69991</v>
      </c>
      <c r="P96" s="187" t="n">
        <f aca="false">O96</f>
        <v>69991</v>
      </c>
      <c r="Q96" s="187" t="n">
        <f aca="false">P96</f>
        <v>69991</v>
      </c>
    </row>
    <row r="97" customFormat="false" ht="12.75" hidden="false" customHeight="false" outlineLevel="0" collapsed="false">
      <c r="A97" s="621" t="s">
        <v>305</v>
      </c>
      <c r="B97" s="70"/>
      <c r="C97" s="583"/>
      <c r="D97" s="527" t="n">
        <v>269818</v>
      </c>
      <c r="E97" s="527" t="n">
        <v>324854</v>
      </c>
      <c r="F97" s="527" t="n">
        <v>162348</v>
      </c>
      <c r="G97" s="508" t="n">
        <v>6661</v>
      </c>
      <c r="H97" s="508" t="n">
        <v>6563</v>
      </c>
      <c r="I97" s="508" t="n">
        <v>6417</v>
      </c>
      <c r="J97" s="508" t="n">
        <v>6417</v>
      </c>
      <c r="K97" s="508" t="n">
        <v>6417</v>
      </c>
      <c r="L97" s="187" t="n">
        <f aca="false">K97</f>
        <v>6417</v>
      </c>
      <c r="M97" s="187" t="n">
        <f aca="false">L97</f>
        <v>6417</v>
      </c>
      <c r="N97" s="187" t="n">
        <f aca="false">M97</f>
        <v>6417</v>
      </c>
      <c r="O97" s="187" t="n">
        <f aca="false">N97</f>
        <v>6417</v>
      </c>
      <c r="P97" s="187" t="n">
        <f aca="false">O97</f>
        <v>6417</v>
      </c>
      <c r="Q97" s="187" t="n">
        <f aca="false">P97</f>
        <v>6417</v>
      </c>
    </row>
    <row r="98" customFormat="false" ht="12.75" hidden="false" customHeight="false" outlineLevel="0" collapsed="false">
      <c r="A98" s="621" t="s">
        <v>306</v>
      </c>
      <c r="B98" s="70"/>
      <c r="C98" s="583"/>
      <c r="D98" s="622" t="n">
        <v>23940</v>
      </c>
      <c r="E98" s="623" t="n">
        <v>25423</v>
      </c>
      <c r="F98" s="623" t="n">
        <v>19700</v>
      </c>
      <c r="G98" s="624" t="n">
        <v>27854</v>
      </c>
      <c r="H98" s="624" t="n">
        <v>28906</v>
      </c>
      <c r="I98" s="624" t="n">
        <v>28990</v>
      </c>
      <c r="J98" s="624" t="n">
        <v>33743</v>
      </c>
      <c r="K98" s="624" t="n">
        <v>34625</v>
      </c>
      <c r="L98" s="241" t="n">
        <f aca="false">K98</f>
        <v>34625</v>
      </c>
      <c r="M98" s="241" t="n">
        <f aca="false">L98</f>
        <v>34625</v>
      </c>
      <c r="N98" s="241" t="n">
        <f aca="false">M98</f>
        <v>34625</v>
      </c>
      <c r="O98" s="241" t="n">
        <f aca="false">N98</f>
        <v>34625</v>
      </c>
      <c r="P98" s="241" t="n">
        <f aca="false">O98</f>
        <v>34625</v>
      </c>
      <c r="Q98" s="241" t="n">
        <f aca="false">P98</f>
        <v>34625</v>
      </c>
    </row>
    <row r="99" customFormat="false" ht="12.75" hidden="false" customHeight="false" outlineLevel="0" collapsed="false">
      <c r="A99" s="386" t="s">
        <v>307</v>
      </c>
      <c r="B99" s="625" t="n">
        <v>1</v>
      </c>
      <c r="C99" s="583"/>
      <c r="D99" s="310" t="n">
        <f aca="false">SUM(D96:D98)*$B$99</f>
        <v>371819</v>
      </c>
      <c r="E99" s="310" t="n">
        <f aca="false">SUM(E96:E98)*$B$99</f>
        <v>431944</v>
      </c>
      <c r="F99" s="310" t="n">
        <f aca="false">SUM(F96:F98)*$B$99</f>
        <v>261030</v>
      </c>
      <c r="G99" s="184" t="n">
        <f aca="false">SUM(G96:G98)*$B$99</f>
        <v>100664</v>
      </c>
      <c r="H99" s="184" t="n">
        <f aca="false">SUM(H96:H98)*$B$99</f>
        <v>108845</v>
      </c>
      <c r="I99" s="184" t="n">
        <f aca="false">SUM(I96:I98)*$B$99</f>
        <v>104444</v>
      </c>
      <c r="J99" s="184" t="n">
        <f aca="false">SUM(J96:J98)*$B$99</f>
        <v>109651</v>
      </c>
      <c r="K99" s="184" t="n">
        <f aca="false">SUM(K96:K98)*$B$99</f>
        <v>111033</v>
      </c>
      <c r="L99" s="184" t="n">
        <f aca="false">SUM(L96:L98)*$B$99</f>
        <v>111033</v>
      </c>
      <c r="M99" s="184" t="n">
        <f aca="false">SUM(M96:M98)*$B$99</f>
        <v>111033</v>
      </c>
      <c r="N99" s="184" t="n">
        <f aca="false">SUM(N96:N98)*$B$99</f>
        <v>111033</v>
      </c>
      <c r="O99" s="184" t="n">
        <f aca="false">SUM(O96:O98)*$B$99</f>
        <v>111033</v>
      </c>
      <c r="P99" s="184" t="n">
        <f aca="false">SUM(P96:P98)*$B$99</f>
        <v>111033</v>
      </c>
      <c r="Q99" s="184" t="n">
        <f aca="false">SUM(Q96:Q98)*$B$99</f>
        <v>111033</v>
      </c>
    </row>
    <row r="100" customFormat="false" ht="12.75" hidden="false" customHeight="false" outlineLevel="0" collapsed="false">
      <c r="A100" s="328" t="s">
        <v>254</v>
      </c>
      <c r="B100" s="587" t="n">
        <v>1</v>
      </c>
      <c r="C100" s="572" t="n">
        <v>1</v>
      </c>
      <c r="D100" s="457" t="n">
        <f aca="false">D99</f>
        <v>371819</v>
      </c>
      <c r="E100" s="457" t="n">
        <f aca="false">E99</f>
        <v>431944</v>
      </c>
      <c r="F100" s="457" t="n">
        <f aca="false">F99</f>
        <v>261030</v>
      </c>
      <c r="G100" s="176" t="n">
        <f aca="false">G99</f>
        <v>100664</v>
      </c>
      <c r="H100" s="176" t="n">
        <f aca="false">H99</f>
        <v>108845</v>
      </c>
      <c r="I100" s="176" t="n">
        <f aca="false">I99</f>
        <v>104444</v>
      </c>
      <c r="J100" s="176" t="n">
        <f aca="false">J99</f>
        <v>109651</v>
      </c>
      <c r="K100" s="176" t="n">
        <f aca="false">K99</f>
        <v>111033</v>
      </c>
      <c r="L100" s="176" t="n">
        <f aca="false">L99</f>
        <v>111033</v>
      </c>
      <c r="M100" s="176" t="n">
        <f aca="false">M99</f>
        <v>111033</v>
      </c>
      <c r="N100" s="176" t="n">
        <f aca="false">N99</f>
        <v>111033</v>
      </c>
      <c r="O100" s="176" t="n">
        <f aca="false">O99</f>
        <v>111033</v>
      </c>
      <c r="P100" s="176" t="n">
        <f aca="false">P99</f>
        <v>111033</v>
      </c>
      <c r="Q100" s="176" t="n">
        <f aca="false">Q99</f>
        <v>111033</v>
      </c>
    </row>
    <row r="101" customFormat="false" ht="12.75" hidden="false" customHeight="false" outlineLevel="0" collapsed="false">
      <c r="C101" s="583"/>
      <c r="F101" s="34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</row>
    <row r="102" customFormat="false" ht="12.75" hidden="true" customHeight="false" outlineLevel="1" collapsed="false">
      <c r="C102" s="583"/>
    </row>
    <row r="103" customFormat="false" ht="12.75" hidden="true" customHeight="false" outlineLevel="1" collapsed="false">
      <c r="A103" s="53" t="str">
        <f aca="false">Assumptions!B40</f>
        <v>2. Optimistic</v>
      </c>
      <c r="B103" s="587" t="n">
        <v>0.9</v>
      </c>
      <c r="C103" s="572" t="n">
        <v>2</v>
      </c>
      <c r="D103" s="551" t="n">
        <f aca="false">D100</f>
        <v>371819</v>
      </c>
      <c r="E103" s="551" t="n">
        <f aca="false">E100</f>
        <v>431944</v>
      </c>
      <c r="F103" s="551" t="n">
        <f aca="false">F100</f>
        <v>261030</v>
      </c>
      <c r="G103" s="185" t="n">
        <f aca="false">F103*$B$103+G104</f>
        <v>234927</v>
      </c>
      <c r="H103" s="185" t="n">
        <f aca="false">G103*$B$103+H104</f>
        <v>211434.3</v>
      </c>
      <c r="I103" s="185" t="n">
        <f aca="false">H103*$B$103+I104</f>
        <v>190290.87</v>
      </c>
      <c r="J103" s="185" t="n">
        <f aca="false">I103*$B$103+J104</f>
        <v>171261.783</v>
      </c>
      <c r="K103" s="185" t="n">
        <f aca="false">J103*$B$103+K104</f>
        <v>154135.6047</v>
      </c>
      <c r="L103" s="185" t="n">
        <f aca="false">K103*$B$103+L104</f>
        <v>138722.04423</v>
      </c>
      <c r="M103" s="185" t="n">
        <f aca="false">L103*$B$103+M104</f>
        <v>124849.839807</v>
      </c>
      <c r="N103" s="185" t="n">
        <f aca="false">M103*$B$103+N104</f>
        <v>112364.8558263</v>
      </c>
      <c r="O103" s="185" t="n">
        <f aca="false">N103*$B$103+O104</f>
        <v>101128.37024367</v>
      </c>
      <c r="P103" s="185" t="n">
        <f aca="false">O103*$B$103+P104</f>
        <v>91015.533219303</v>
      </c>
      <c r="Q103" s="185" t="n">
        <f aca="false">P103*$B$103+Q104</f>
        <v>81913.9798973727</v>
      </c>
    </row>
    <row r="104" customFormat="false" ht="12.75" hidden="true" customHeight="false" outlineLevel="1" collapsed="false">
      <c r="A104" s="53"/>
      <c r="C104" s="590"/>
      <c r="D104" s="305"/>
      <c r="E104" s="305"/>
      <c r="F104" s="557" t="s">
        <v>283</v>
      </c>
      <c r="G104" s="187" t="n">
        <v>0</v>
      </c>
      <c r="H104" s="187" t="n">
        <v>0</v>
      </c>
      <c r="I104" s="187" t="n">
        <f aca="false">H104</f>
        <v>0</v>
      </c>
      <c r="J104" s="187" t="n">
        <f aca="false">I104</f>
        <v>0</v>
      </c>
      <c r="K104" s="187" t="n">
        <f aca="false">J104</f>
        <v>0</v>
      </c>
      <c r="L104" s="187" t="n">
        <f aca="false">K104</f>
        <v>0</v>
      </c>
      <c r="M104" s="187" t="n">
        <f aca="false">L104</f>
        <v>0</v>
      </c>
      <c r="N104" s="187" t="n">
        <f aca="false">M104</f>
        <v>0</v>
      </c>
      <c r="O104" s="187" t="n">
        <f aca="false">N104</f>
        <v>0</v>
      </c>
      <c r="P104" s="187" t="n">
        <f aca="false">O104</f>
        <v>0</v>
      </c>
      <c r="Q104" s="187" t="n">
        <f aca="false">P104</f>
        <v>0</v>
      </c>
    </row>
    <row r="105" customFormat="false" ht="12.75" hidden="true" customHeight="false" outlineLevel="1" collapsed="false">
      <c r="A105" s="53"/>
      <c r="C105" s="590"/>
    </row>
    <row r="106" customFormat="false" ht="12.75" hidden="true" customHeight="false" outlineLevel="1" collapsed="false">
      <c r="A106" s="53" t="str">
        <f aca="false">Assumptions!B41</f>
        <v>3. Pessimistic</v>
      </c>
      <c r="B106" s="587" t="n">
        <v>1.1</v>
      </c>
      <c r="C106" s="572" t="n">
        <v>3</v>
      </c>
      <c r="D106" s="551" t="n">
        <f aca="false">D100</f>
        <v>371819</v>
      </c>
      <c r="E106" s="551" t="n">
        <f aca="false">E100</f>
        <v>431944</v>
      </c>
      <c r="F106" s="551" t="n">
        <f aca="false">F100</f>
        <v>261030</v>
      </c>
      <c r="G106" s="185" t="n">
        <f aca="false">F106*$B$106+G107</f>
        <v>287133</v>
      </c>
      <c r="H106" s="185" t="n">
        <f aca="false">G106*$B$106+H107</f>
        <v>315846.3</v>
      </c>
      <c r="I106" s="185" t="n">
        <f aca="false">H106*$B$106+I107</f>
        <v>347430.93</v>
      </c>
      <c r="J106" s="185" t="n">
        <f aca="false">I106*$B$106+J107</f>
        <v>382174.023</v>
      </c>
      <c r="K106" s="185" t="n">
        <f aca="false">J106*$B$106+K107</f>
        <v>420391.4253</v>
      </c>
      <c r="L106" s="185" t="n">
        <f aca="false">K106*$B$106+L107</f>
        <v>462430.56783</v>
      </c>
      <c r="M106" s="185" t="n">
        <f aca="false">L106*$B$106+M107</f>
        <v>508673.624613</v>
      </c>
      <c r="N106" s="185" t="n">
        <f aca="false">M106*$B$106+N107</f>
        <v>559540.9870743</v>
      </c>
      <c r="O106" s="185" t="n">
        <f aca="false">N106*$B$106+O107</f>
        <v>615495.08578173</v>
      </c>
      <c r="P106" s="185" t="n">
        <f aca="false">O106*$B$106+P107</f>
        <v>677044.594359904</v>
      </c>
      <c r="Q106" s="185" t="n">
        <f aca="false">P106*$B$106+Q107</f>
        <v>744749.053795894</v>
      </c>
    </row>
    <row r="107" customFormat="false" ht="13.5" hidden="true" customHeight="false" outlineLevel="1" collapsed="false">
      <c r="C107" s="579"/>
      <c r="D107" s="305"/>
      <c r="E107" s="305"/>
      <c r="F107" s="557" t="s">
        <v>283</v>
      </c>
      <c r="G107" s="187" t="n">
        <v>0</v>
      </c>
      <c r="H107" s="187" t="n">
        <v>0</v>
      </c>
      <c r="I107" s="187" t="n">
        <f aca="false">H107</f>
        <v>0</v>
      </c>
      <c r="J107" s="187" t="n">
        <f aca="false">I107</f>
        <v>0</v>
      </c>
      <c r="K107" s="187" t="n">
        <f aca="false">J107</f>
        <v>0</v>
      </c>
      <c r="L107" s="187" t="n">
        <f aca="false">K107</f>
        <v>0</v>
      </c>
      <c r="M107" s="187" t="n">
        <f aca="false">L107</f>
        <v>0</v>
      </c>
      <c r="N107" s="187" t="n">
        <f aca="false">M107</f>
        <v>0</v>
      </c>
      <c r="O107" s="187" t="n">
        <f aca="false">N107</f>
        <v>0</v>
      </c>
      <c r="P107" s="187" t="n">
        <f aca="false">O107</f>
        <v>0</v>
      </c>
      <c r="Q107" s="187" t="n">
        <f aca="false">P107</f>
        <v>0</v>
      </c>
    </row>
    <row r="109" customFormat="false" ht="15.75" hidden="false" customHeight="false" outlineLevel="0" collapsed="false">
      <c r="A109" s="284" t="s">
        <v>255</v>
      </c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</row>
    <row r="110" customFormat="false" ht="12.75" hidden="false" customHeight="true" outlineLevel="0" collapsed="false">
      <c r="A110" s="288"/>
      <c r="B110" s="204"/>
      <c r="C110" s="204"/>
      <c r="D110" s="292"/>
      <c r="E110" s="292"/>
      <c r="F110" s="293"/>
      <c r="G110" s="294" t="s">
        <v>156</v>
      </c>
      <c r="H110" s="295"/>
      <c r="I110" s="293"/>
      <c r="J110" s="293"/>
      <c r="K110" s="296"/>
      <c r="L110" s="293"/>
      <c r="M110" s="296"/>
      <c r="N110" s="296"/>
      <c r="O110" s="296"/>
      <c r="P110" s="296"/>
      <c r="Q110" s="75"/>
      <c r="R110" s="204"/>
    </row>
    <row r="111" customFormat="false" ht="12.75" hidden="false" customHeight="true" outlineLevel="0" collapsed="false">
      <c r="A111" s="288"/>
      <c r="B111" s="566" t="s">
        <v>300</v>
      </c>
      <c r="C111" s="204"/>
      <c r="D111" s="297" t="n">
        <v>1998</v>
      </c>
      <c r="E111" s="297" t="n">
        <v>1999</v>
      </c>
      <c r="F111" s="297" t="n">
        <v>2000</v>
      </c>
      <c r="G111" s="297" t="n">
        <v>2001</v>
      </c>
      <c r="H111" s="298" t="n">
        <v>2002</v>
      </c>
      <c r="I111" s="298" t="n">
        <v>2003</v>
      </c>
      <c r="J111" s="298" t="n">
        <v>2004</v>
      </c>
      <c r="K111" s="298" t="n">
        <v>2005</v>
      </c>
      <c r="L111" s="298" t="n">
        <v>2006</v>
      </c>
      <c r="M111" s="299" t="n">
        <v>2007</v>
      </c>
      <c r="N111" s="299" t="n">
        <v>2008</v>
      </c>
      <c r="O111" s="299" t="n">
        <v>2009</v>
      </c>
      <c r="P111" s="299" t="n">
        <v>2010</v>
      </c>
      <c r="Q111" s="300" t="n">
        <v>2011</v>
      </c>
      <c r="R111" s="204"/>
    </row>
    <row r="112" customFormat="false" ht="12.75" hidden="false" customHeight="true" outlineLevel="0" collapsed="false">
      <c r="A112" s="288"/>
      <c r="B112" s="566" t="s">
        <v>301</v>
      </c>
      <c r="C112" s="204"/>
      <c r="F112" s="526" t="s">
        <v>157</v>
      </c>
      <c r="G112" s="297" t="n">
        <v>1</v>
      </c>
      <c r="H112" s="298" t="n">
        <v>2</v>
      </c>
      <c r="I112" s="298" t="n">
        <v>3</v>
      </c>
      <c r="J112" s="298" t="n">
        <v>4</v>
      </c>
      <c r="K112" s="298" t="n">
        <v>5</v>
      </c>
      <c r="L112" s="298" t="n">
        <v>6</v>
      </c>
      <c r="M112" s="298" t="n">
        <v>7</v>
      </c>
      <c r="N112" s="298" t="n">
        <v>8</v>
      </c>
      <c r="O112" s="298" t="n">
        <v>9</v>
      </c>
      <c r="P112" s="298" t="n">
        <v>10</v>
      </c>
      <c r="Q112" s="302" t="n">
        <v>11</v>
      </c>
      <c r="R112" s="204"/>
    </row>
    <row r="113" customFormat="false" ht="12.75" hidden="false" customHeight="false" outlineLevel="0" collapsed="false">
      <c r="A113" s="386" t="s">
        <v>308</v>
      </c>
      <c r="B113" s="625" t="n">
        <v>1</v>
      </c>
      <c r="D113" s="511" t="n">
        <f aca="false">44639-1241</f>
        <v>43398</v>
      </c>
      <c r="E113" s="511" t="n">
        <f aca="false">80595-2183</f>
        <v>78412</v>
      </c>
      <c r="F113" s="511" t="n">
        <f aca="false">261252-15176</f>
        <v>246076</v>
      </c>
      <c r="G113" s="157" t="n">
        <f aca="false">$B$113*220271</f>
        <v>220271</v>
      </c>
      <c r="H113" s="157" t="n">
        <f aca="false">$B$113*288077</f>
        <v>288077</v>
      </c>
      <c r="I113" s="157" t="n">
        <f aca="false">55294*$B$113</f>
        <v>55294</v>
      </c>
      <c r="J113" s="157" t="n">
        <f aca="false">25943*$B$113</f>
        <v>25943</v>
      </c>
      <c r="K113" s="157" t="n">
        <f aca="false">25943*$B$113</f>
        <v>25943</v>
      </c>
      <c r="L113" s="184" t="n">
        <f aca="false">K113*$B$113</f>
        <v>25943</v>
      </c>
      <c r="M113" s="184" t="n">
        <f aca="false">L113</f>
        <v>25943</v>
      </c>
      <c r="N113" s="184" t="n">
        <f aca="false">M113</f>
        <v>25943</v>
      </c>
      <c r="O113" s="184" t="n">
        <f aca="false">N113</f>
        <v>25943</v>
      </c>
      <c r="P113" s="184" t="n">
        <f aca="false">O113</f>
        <v>25943</v>
      </c>
      <c r="Q113" s="184" t="n">
        <f aca="false">P113</f>
        <v>25943</v>
      </c>
    </row>
    <row r="114" customFormat="false" ht="12.75" hidden="false" customHeight="false" outlineLevel="0" collapsed="false">
      <c r="A114" s="528" t="s">
        <v>262</v>
      </c>
      <c r="D114" s="457" t="n">
        <f aca="false">D113</f>
        <v>43398</v>
      </c>
      <c r="E114" s="457" t="n">
        <f aca="false">E113</f>
        <v>78412</v>
      </c>
      <c r="F114" s="457" t="n">
        <f aca="false">F113</f>
        <v>246076</v>
      </c>
      <c r="G114" s="176" t="n">
        <f aca="false">G113</f>
        <v>220271</v>
      </c>
      <c r="H114" s="176" t="n">
        <f aca="false">H113</f>
        <v>288077</v>
      </c>
      <c r="I114" s="176" t="n">
        <f aca="false">I113</f>
        <v>55294</v>
      </c>
      <c r="J114" s="176" t="n">
        <f aca="false">J113</f>
        <v>25943</v>
      </c>
      <c r="K114" s="176" t="n">
        <f aca="false">K113</f>
        <v>25943</v>
      </c>
      <c r="L114" s="176" t="n">
        <f aca="false">L113</f>
        <v>25943</v>
      </c>
      <c r="M114" s="176" t="n">
        <f aca="false">M113</f>
        <v>25943</v>
      </c>
      <c r="N114" s="176" t="n">
        <f aca="false">N113</f>
        <v>25943</v>
      </c>
      <c r="O114" s="176" t="n">
        <f aca="false">O113</f>
        <v>25943</v>
      </c>
      <c r="P114" s="176" t="n">
        <f aca="false">P113</f>
        <v>25943</v>
      </c>
      <c r="Q114" s="176" t="n">
        <f aca="false">Q113</f>
        <v>25943</v>
      </c>
    </row>
    <row r="115" customFormat="false" ht="12.75" hidden="false" customHeight="false" outlineLevel="0" collapsed="false">
      <c r="A115" s="308"/>
    </row>
    <row r="116" customFormat="false" ht="15.75" hidden="false" customHeight="false" outlineLevel="0" collapsed="false">
      <c r="A116" s="284" t="s">
        <v>263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8" customFormat="false" ht="12.75" hidden="false" customHeight="false" outlineLevel="0" collapsed="false">
      <c r="A118" s="475" t="s">
        <v>264</v>
      </c>
      <c r="B118" s="146"/>
      <c r="C118" s="627" t="n">
        <v>3505188</v>
      </c>
      <c r="D118" s="470"/>
      <c r="E118" s="470"/>
      <c r="F118" s="310"/>
      <c r="G118" s="530" t="n">
        <f aca="false">Assumptions!G28</f>
        <v>0.015</v>
      </c>
      <c r="H118" s="531" t="n">
        <f aca="false">G118</f>
        <v>0.015</v>
      </c>
      <c r="I118" s="531" t="n">
        <f aca="false">H118</f>
        <v>0.015</v>
      </c>
      <c r="J118" s="531" t="n">
        <f aca="false">I118</f>
        <v>0.015</v>
      </c>
      <c r="K118" s="531" t="n">
        <f aca="false">J118</f>
        <v>0.015</v>
      </c>
      <c r="L118" s="531" t="n">
        <f aca="false">K118</f>
        <v>0.015</v>
      </c>
      <c r="M118" s="531" t="n">
        <f aca="false">L118</f>
        <v>0.015</v>
      </c>
      <c r="N118" s="531" t="n">
        <f aca="false">M118</f>
        <v>0.015</v>
      </c>
      <c r="O118" s="531" t="n">
        <f aca="false">N118</f>
        <v>0.015</v>
      </c>
      <c r="P118" s="531" t="n">
        <f aca="false">O118</f>
        <v>0.015</v>
      </c>
      <c r="Q118" s="532" t="n">
        <f aca="false">P118</f>
        <v>0.015</v>
      </c>
    </row>
    <row r="119" customFormat="false" ht="12.75" hidden="false" customHeight="false" outlineLevel="0" collapsed="false">
      <c r="A119" s="187" t="s">
        <v>265</v>
      </c>
      <c r="D119" s="470"/>
      <c r="E119" s="470"/>
      <c r="F119" s="310"/>
      <c r="G119" s="192" t="n">
        <f aca="false">C118*G118</f>
        <v>52577.82</v>
      </c>
      <c r="H119" s="192" t="n">
        <f aca="false">+G119</f>
        <v>52577.82</v>
      </c>
      <c r="I119" s="192" t="n">
        <f aca="false">+H119</f>
        <v>52577.82</v>
      </c>
      <c r="J119" s="192" t="n">
        <f aca="false">+I119</f>
        <v>52577.82</v>
      </c>
      <c r="K119" s="192" t="n">
        <f aca="false">+J119</f>
        <v>52577.82</v>
      </c>
      <c r="L119" s="192" t="n">
        <f aca="false">+K119</f>
        <v>52577.82</v>
      </c>
      <c r="M119" s="192" t="n">
        <f aca="false">+L119</f>
        <v>52577.82</v>
      </c>
      <c r="N119" s="192" t="n">
        <f aca="false">+M119</f>
        <v>52577.82</v>
      </c>
      <c r="O119" s="192" t="n">
        <f aca="false">+N119</f>
        <v>52577.82</v>
      </c>
      <c r="P119" s="192" t="n">
        <f aca="false">+O119</f>
        <v>52577.82</v>
      </c>
      <c r="Q119" s="192" t="n">
        <f aca="false">+P119</f>
        <v>52577.82</v>
      </c>
    </row>
    <row r="120" customFormat="false" ht="12.75" hidden="false" customHeight="false" outlineLevel="0" collapsed="false">
      <c r="A120" s="187" t="s">
        <v>266</v>
      </c>
      <c r="D120" s="535"/>
      <c r="E120" s="535"/>
      <c r="F120" s="317"/>
      <c r="G120" s="195" t="n">
        <f aca="false">G142</f>
        <v>3691.14</v>
      </c>
      <c r="H120" s="195" t="n">
        <f aca="false">H142</f>
        <v>6995.205</v>
      </c>
      <c r="I120" s="195" t="n">
        <f aca="false">I142</f>
        <v>11316.36</v>
      </c>
      <c r="J120" s="195" t="n">
        <f aca="false">J142</f>
        <v>12145.77</v>
      </c>
      <c r="K120" s="195" t="n">
        <f aca="false">K142</f>
        <v>12534.915</v>
      </c>
      <c r="L120" s="195" t="n">
        <f aca="false">L142</f>
        <v>12924.06</v>
      </c>
      <c r="M120" s="195" t="n">
        <f aca="false">M142</f>
        <v>13313.205</v>
      </c>
      <c r="N120" s="195" t="n">
        <f aca="false">N142</f>
        <v>13702.35</v>
      </c>
      <c r="O120" s="195" t="n">
        <f aca="false">O142</f>
        <v>14091.495</v>
      </c>
      <c r="P120" s="195" t="n">
        <f aca="false">P142</f>
        <v>14480.64</v>
      </c>
      <c r="Q120" s="195" t="n">
        <f aca="false">Q142</f>
        <v>14869.785</v>
      </c>
    </row>
    <row r="121" customFormat="false" ht="12.75" hidden="false" customHeight="false" outlineLevel="0" collapsed="false">
      <c r="A121" s="528" t="s">
        <v>267</v>
      </c>
      <c r="D121" s="628" t="n">
        <v>51771</v>
      </c>
      <c r="E121" s="628" t="n">
        <v>51234</v>
      </c>
      <c r="F121" s="628" t="n">
        <v>50439</v>
      </c>
      <c r="G121" s="176" t="n">
        <f aca="false">SUM(G119:G120)</f>
        <v>56268.96</v>
      </c>
      <c r="H121" s="176" t="n">
        <f aca="false">SUM(H119:H120)</f>
        <v>59573.025</v>
      </c>
      <c r="I121" s="176" t="n">
        <f aca="false">SUM(I119:I120)</f>
        <v>63894.18</v>
      </c>
      <c r="J121" s="176" t="n">
        <f aca="false">SUM(J119:J120)</f>
        <v>64723.59</v>
      </c>
      <c r="K121" s="176" t="n">
        <f aca="false">SUM(K119:K120)</f>
        <v>65112.735</v>
      </c>
      <c r="L121" s="176" t="n">
        <f aca="false">SUM(L119:L120)</f>
        <v>65501.88</v>
      </c>
      <c r="M121" s="176" t="n">
        <f aca="false">SUM(M119:M120)</f>
        <v>65891.025</v>
      </c>
      <c r="N121" s="176" t="n">
        <f aca="false">SUM(N119:N120)</f>
        <v>66280.17</v>
      </c>
      <c r="O121" s="176" t="n">
        <f aca="false">SUM(O119:O120)</f>
        <v>66669.315</v>
      </c>
      <c r="P121" s="176" t="n">
        <f aca="false">SUM(P119:P120)</f>
        <v>67058.46</v>
      </c>
      <c r="Q121" s="176" t="n">
        <f aca="false">SUM(Q119:Q120)</f>
        <v>67447.605</v>
      </c>
    </row>
    <row r="122" customFormat="false" ht="12.75" hidden="false" customHeight="false" outlineLevel="0" collapsed="false">
      <c r="A122" s="187"/>
      <c r="D122" s="470"/>
      <c r="E122" s="470"/>
      <c r="F122" s="310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</row>
    <row r="123" customFormat="false" ht="12.75" hidden="false" customHeight="false" outlineLevel="0" collapsed="false">
      <c r="A123" s="348" t="s">
        <v>268</v>
      </c>
      <c r="D123" s="470"/>
      <c r="E123" s="470"/>
      <c r="F123" s="310"/>
      <c r="G123" s="530" t="n">
        <v>0.05</v>
      </c>
      <c r="H123" s="531" t="n">
        <v>0.05</v>
      </c>
      <c r="I123" s="531" t="n">
        <v>0.04</v>
      </c>
      <c r="J123" s="531" t="n">
        <f aca="false">I123</f>
        <v>0.04</v>
      </c>
      <c r="K123" s="531" t="n">
        <v>0.03</v>
      </c>
      <c r="L123" s="531" t="n">
        <f aca="false">K123</f>
        <v>0.03</v>
      </c>
      <c r="M123" s="531" t="n">
        <f aca="false">L123</f>
        <v>0.03</v>
      </c>
      <c r="N123" s="531" t="n">
        <f aca="false">M123</f>
        <v>0.03</v>
      </c>
      <c r="O123" s="531" t="n">
        <v>0.02</v>
      </c>
      <c r="P123" s="531" t="n">
        <f aca="false">O123</f>
        <v>0.02</v>
      </c>
      <c r="Q123" s="531" t="n">
        <f aca="false">P123</f>
        <v>0.02</v>
      </c>
    </row>
    <row r="124" customFormat="false" ht="12.75" hidden="false" customHeight="false" outlineLevel="0" collapsed="false">
      <c r="A124" s="348"/>
      <c r="D124" s="470"/>
      <c r="E124" s="470"/>
      <c r="F124" s="310"/>
      <c r="G124" s="593" t="n">
        <v>0.05</v>
      </c>
      <c r="H124" s="594" t="n">
        <v>0.095</v>
      </c>
      <c r="I124" s="594" t="n">
        <v>0.0855</v>
      </c>
      <c r="J124" s="594" t="n">
        <v>0.077</v>
      </c>
      <c r="K124" s="594" t="n">
        <v>0.0693</v>
      </c>
      <c r="L124" s="594" t="n">
        <v>0.0623</v>
      </c>
      <c r="M124" s="594" t="n">
        <v>0.059</v>
      </c>
      <c r="N124" s="594" t="n">
        <v>0.059</v>
      </c>
      <c r="O124" s="594" t="n">
        <v>0.0591</v>
      </c>
      <c r="P124" s="594" t="n">
        <v>0.059</v>
      </c>
      <c r="Q124" s="595" t="n">
        <v>0.0591</v>
      </c>
    </row>
    <row r="125" customFormat="false" ht="12.75" hidden="false" customHeight="false" outlineLevel="0" collapsed="false">
      <c r="A125" s="187" t="s">
        <v>265</v>
      </c>
      <c r="B125" s="541"/>
      <c r="D125" s="470"/>
      <c r="E125" s="470"/>
      <c r="F125" s="310"/>
      <c r="G125" s="187" t="n">
        <f aca="false">G123*$C$118</f>
        <v>175259.4</v>
      </c>
      <c r="H125" s="187" t="n">
        <f aca="false">H123*$C$118</f>
        <v>175259.4</v>
      </c>
      <c r="I125" s="187" t="n">
        <f aca="false">I123*$C$118</f>
        <v>140207.52</v>
      </c>
      <c r="J125" s="187" t="n">
        <f aca="false">J123*$C$118</f>
        <v>140207.52</v>
      </c>
      <c r="K125" s="187" t="n">
        <f aca="false">K123*$C$118</f>
        <v>105155.64</v>
      </c>
      <c r="L125" s="187" t="n">
        <f aca="false">L123*$C$118</f>
        <v>105155.64</v>
      </c>
      <c r="M125" s="187" t="n">
        <f aca="false">M123*$C$118</f>
        <v>105155.64</v>
      </c>
      <c r="N125" s="187" t="n">
        <f aca="false">N123*$C$118</f>
        <v>105155.64</v>
      </c>
      <c r="O125" s="187" t="n">
        <f aca="false">O123*$C$118</f>
        <v>70103.76</v>
      </c>
      <c r="P125" s="187" t="n">
        <f aca="false">P123*$C$118</f>
        <v>70103.76</v>
      </c>
      <c r="Q125" s="187" t="n">
        <f aca="false">Q123*$C$118</f>
        <v>70103.76</v>
      </c>
    </row>
    <row r="126" customFormat="false" ht="15" hidden="false" customHeight="false" outlineLevel="0" collapsed="false">
      <c r="A126" s="187" t="s">
        <v>266</v>
      </c>
      <c r="B126" s="466"/>
      <c r="D126" s="477"/>
      <c r="E126" s="477"/>
      <c r="F126" s="310"/>
      <c r="G126" s="339" t="n">
        <f aca="false">G155</f>
        <v>12303.8</v>
      </c>
      <c r="H126" s="339" t="n">
        <f aca="false">H155</f>
        <v>34390.77</v>
      </c>
      <c r="I126" s="339" t="n">
        <f aca="false">I155</f>
        <v>56369.093</v>
      </c>
      <c r="J126" s="339" t="n">
        <f aca="false">J155</f>
        <v>67913.0375</v>
      </c>
      <c r="K126" s="339" t="n">
        <f aca="false">K155</f>
        <v>65194.5973</v>
      </c>
      <c r="L126" s="339" t="n">
        <f aca="false">L155</f>
        <v>61266.6161</v>
      </c>
      <c r="M126" s="339" t="n">
        <f aca="false">M155</f>
        <v>58442.6029</v>
      </c>
      <c r="N126" s="339" t="n">
        <f aca="false">N155</f>
        <v>57271.0168</v>
      </c>
      <c r="O126" s="339" t="n">
        <f aca="false">O155</f>
        <v>57755.7622</v>
      </c>
      <c r="P126" s="339" t="n">
        <f aca="false">P155</f>
        <v>59186.9604</v>
      </c>
      <c r="Q126" s="339" t="n">
        <f aca="false">Q155</f>
        <v>60748.9856</v>
      </c>
    </row>
    <row r="127" customFormat="false" ht="12.75" hidden="false" customHeight="false" outlineLevel="0" collapsed="false">
      <c r="A127" s="528" t="s">
        <v>269</v>
      </c>
      <c r="D127" s="470"/>
      <c r="E127" s="470"/>
      <c r="F127" s="310"/>
      <c r="G127" s="187" t="n">
        <f aca="false">SUM(G125:G126)</f>
        <v>187563.2</v>
      </c>
      <c r="H127" s="187" t="n">
        <f aca="false">SUM(H125:H126)</f>
        <v>209650.17</v>
      </c>
      <c r="I127" s="187" t="n">
        <f aca="false">SUM(I125:I126)</f>
        <v>196576.613</v>
      </c>
      <c r="J127" s="187" t="n">
        <f aca="false">SUM(J125:J126)</f>
        <v>208120.5575</v>
      </c>
      <c r="K127" s="187" t="n">
        <f aca="false">SUM(K125:K126)</f>
        <v>170350.2373</v>
      </c>
      <c r="L127" s="187" t="n">
        <f aca="false">SUM(L125:L126)</f>
        <v>166422.2561</v>
      </c>
      <c r="M127" s="187" t="n">
        <f aca="false">SUM(M125:M126)</f>
        <v>163598.2429</v>
      </c>
      <c r="N127" s="187" t="n">
        <f aca="false">SUM(N125:N126)</f>
        <v>162426.6568</v>
      </c>
      <c r="O127" s="187" t="n">
        <f aca="false">SUM(O125:O126)</f>
        <v>127859.5222</v>
      </c>
      <c r="P127" s="187" t="n">
        <f aca="false">SUM(P125:P126)</f>
        <v>129290.7204</v>
      </c>
      <c r="Q127" s="187" t="n">
        <f aca="false">SUM(Q125:Q126)</f>
        <v>130852.7456</v>
      </c>
    </row>
    <row r="128" customFormat="false" ht="12.75" hidden="false" customHeight="false" outlineLevel="0" collapsed="false">
      <c r="D128" s="187" t="n">
        <v>23395</v>
      </c>
      <c r="E128" s="187" t="n">
        <v>18374</v>
      </c>
      <c r="F128" s="187" t="n">
        <v>37371</v>
      </c>
      <c r="G128" s="187" t="n">
        <f aca="false">(G127-G121)*0.385</f>
        <v>50548.2824</v>
      </c>
      <c r="H128" s="187" t="n">
        <f aca="false">(H127-H121)*0.385</f>
        <v>57779.700825</v>
      </c>
      <c r="I128" s="187" t="n">
        <f aca="false">(I127-I121)*0.385</f>
        <v>51082.736705</v>
      </c>
      <c r="J128" s="187" t="n">
        <f aca="false">(J127-J121)*0.385</f>
        <v>55207.8324875</v>
      </c>
      <c r="K128" s="187" t="n">
        <f aca="false">(K127-K121)*0.385</f>
        <v>40516.4383855</v>
      </c>
      <c r="L128" s="187" t="n">
        <f aca="false">(L127-L121)*0.385</f>
        <v>38854.3447985</v>
      </c>
      <c r="M128" s="187" t="n">
        <f aca="false">(M127-M121)*0.385</f>
        <v>37617.2788915</v>
      </c>
      <c r="N128" s="187" t="n">
        <f aca="false">(N127-N121)*0.385</f>
        <v>37016.397418</v>
      </c>
      <c r="O128" s="187" t="n">
        <f aca="false">(O127-O121)*0.385</f>
        <v>23558.229772</v>
      </c>
      <c r="P128" s="187" t="n">
        <f aca="false">(P127-P121)*0.385</f>
        <v>23959.420254</v>
      </c>
      <c r="Q128" s="187" t="n">
        <f aca="false">(Q127-Q121)*0.385</f>
        <v>24410.979131</v>
      </c>
    </row>
    <row r="129" customFormat="false" ht="12.75" hidden="true" customHeight="false" outlineLevel="1" collapsed="false">
      <c r="A129" s="0" t="s">
        <v>270</v>
      </c>
      <c r="D129" s="0"/>
      <c r="G129" s="204"/>
    </row>
    <row r="130" customFormat="false" ht="12.75" hidden="true" customHeight="false" outlineLevel="1" collapsed="false">
      <c r="D130" s="0"/>
      <c r="G130" s="297" t="n">
        <v>2001</v>
      </c>
      <c r="H130" s="298" t="n">
        <v>2002</v>
      </c>
      <c r="I130" s="298" t="n">
        <v>2003</v>
      </c>
      <c r="J130" s="298" t="n">
        <v>2004</v>
      </c>
      <c r="K130" s="298" t="n">
        <v>2005</v>
      </c>
      <c r="L130" s="298" t="n">
        <v>2006</v>
      </c>
      <c r="M130" s="299" t="n">
        <v>2007</v>
      </c>
      <c r="N130" s="299" t="n">
        <v>2008</v>
      </c>
      <c r="O130" s="299" t="n">
        <v>2009</v>
      </c>
      <c r="P130" s="299" t="n">
        <v>2010</v>
      </c>
      <c r="Q130" s="543" t="n">
        <v>2011</v>
      </c>
      <c r="R130" s="598"/>
    </row>
    <row r="131" customFormat="false" ht="12.75" hidden="true" customHeight="false" outlineLevel="1" collapsed="false">
      <c r="A131" s="0" t="n">
        <v>2000</v>
      </c>
      <c r="B131" s="0" t="s">
        <v>271</v>
      </c>
      <c r="D131" s="0"/>
      <c r="G131" s="185" t="n">
        <f aca="false">F$114*G$118</f>
        <v>3691.14</v>
      </c>
      <c r="H131" s="185" t="n">
        <f aca="false">G131</f>
        <v>3691.14</v>
      </c>
      <c r="I131" s="185" t="n">
        <f aca="false">H131</f>
        <v>3691.14</v>
      </c>
      <c r="J131" s="185" t="n">
        <f aca="false">I131</f>
        <v>3691.14</v>
      </c>
      <c r="K131" s="185" t="n">
        <f aca="false">J131</f>
        <v>3691.14</v>
      </c>
      <c r="L131" s="185" t="n">
        <f aca="false">K131</f>
        <v>3691.14</v>
      </c>
      <c r="M131" s="185" t="n">
        <f aca="false">L131</f>
        <v>3691.14</v>
      </c>
      <c r="N131" s="185" t="n">
        <f aca="false">M131</f>
        <v>3691.14</v>
      </c>
      <c r="O131" s="185" t="n">
        <f aca="false">N131</f>
        <v>3691.14</v>
      </c>
      <c r="P131" s="185" t="n">
        <f aca="false">O131</f>
        <v>3691.14</v>
      </c>
      <c r="Q131" s="185" t="n">
        <f aca="false">P131</f>
        <v>3691.14</v>
      </c>
      <c r="R131" s="191"/>
    </row>
    <row r="132" customFormat="false" ht="12.75" hidden="true" customHeight="false" outlineLevel="1" collapsed="false">
      <c r="A132" s="0" t="n">
        <v>2001</v>
      </c>
      <c r="B132" s="0" t="s">
        <v>271</v>
      </c>
      <c r="D132" s="0"/>
      <c r="G132" s="185"/>
      <c r="H132" s="185" t="n">
        <f aca="false">G$114*H$118</f>
        <v>3304.065</v>
      </c>
      <c r="I132" s="185" t="n">
        <f aca="false">H132</f>
        <v>3304.065</v>
      </c>
      <c r="J132" s="185" t="n">
        <f aca="false">I132</f>
        <v>3304.065</v>
      </c>
      <c r="K132" s="185" t="n">
        <f aca="false">J132</f>
        <v>3304.065</v>
      </c>
      <c r="L132" s="185" t="n">
        <f aca="false">K132</f>
        <v>3304.065</v>
      </c>
      <c r="M132" s="185" t="n">
        <f aca="false">L132</f>
        <v>3304.065</v>
      </c>
      <c r="N132" s="185" t="n">
        <f aca="false">M132</f>
        <v>3304.065</v>
      </c>
      <c r="O132" s="185" t="n">
        <f aca="false">N132</f>
        <v>3304.065</v>
      </c>
      <c r="P132" s="185" t="n">
        <f aca="false">O132</f>
        <v>3304.065</v>
      </c>
      <c r="Q132" s="185" t="n">
        <f aca="false">P132</f>
        <v>3304.065</v>
      </c>
      <c r="R132" s="191"/>
    </row>
    <row r="133" customFormat="false" ht="12.75" hidden="true" customHeight="false" outlineLevel="1" collapsed="false">
      <c r="A133" s="0" t="n">
        <v>2002</v>
      </c>
      <c r="B133" s="0" t="s">
        <v>271</v>
      </c>
      <c r="D133" s="0"/>
      <c r="G133" s="185"/>
      <c r="H133" s="185"/>
      <c r="I133" s="185" t="n">
        <f aca="false">H$114*I$118</f>
        <v>4321.155</v>
      </c>
      <c r="J133" s="185" t="n">
        <f aca="false">I133</f>
        <v>4321.155</v>
      </c>
      <c r="K133" s="185" t="n">
        <f aca="false">J133</f>
        <v>4321.155</v>
      </c>
      <c r="L133" s="185" t="n">
        <f aca="false">K133</f>
        <v>4321.155</v>
      </c>
      <c r="M133" s="185" t="n">
        <f aca="false">L133</f>
        <v>4321.155</v>
      </c>
      <c r="N133" s="185" t="n">
        <f aca="false">M133</f>
        <v>4321.155</v>
      </c>
      <c r="O133" s="185" t="n">
        <f aca="false">N133</f>
        <v>4321.155</v>
      </c>
      <c r="P133" s="185" t="n">
        <f aca="false">O133</f>
        <v>4321.155</v>
      </c>
      <c r="Q133" s="185" t="n">
        <f aca="false">P133</f>
        <v>4321.155</v>
      </c>
      <c r="R133" s="191"/>
    </row>
    <row r="134" customFormat="false" ht="12.75" hidden="true" customHeight="false" outlineLevel="1" collapsed="false">
      <c r="A134" s="0" t="n">
        <v>2003</v>
      </c>
      <c r="B134" s="0" t="s">
        <v>271</v>
      </c>
      <c r="D134" s="0"/>
      <c r="G134" s="185"/>
      <c r="H134" s="185"/>
      <c r="I134" s="185"/>
      <c r="J134" s="185" t="n">
        <f aca="false">I$114*J$118</f>
        <v>829.41</v>
      </c>
      <c r="K134" s="185" t="n">
        <f aca="false">J134</f>
        <v>829.41</v>
      </c>
      <c r="L134" s="185" t="n">
        <f aca="false">K134</f>
        <v>829.41</v>
      </c>
      <c r="M134" s="185" t="n">
        <f aca="false">L134</f>
        <v>829.41</v>
      </c>
      <c r="N134" s="185" t="n">
        <f aca="false">M134</f>
        <v>829.41</v>
      </c>
      <c r="O134" s="185" t="n">
        <f aca="false">N134</f>
        <v>829.41</v>
      </c>
      <c r="P134" s="185" t="n">
        <f aca="false">O134</f>
        <v>829.41</v>
      </c>
      <c r="Q134" s="185" t="n">
        <f aca="false">P134</f>
        <v>829.41</v>
      </c>
      <c r="R134" s="191"/>
    </row>
    <row r="135" customFormat="false" ht="12.75" hidden="true" customHeight="false" outlineLevel="1" collapsed="false">
      <c r="A135" s="0" t="n">
        <v>2004</v>
      </c>
      <c r="B135" s="0" t="s">
        <v>271</v>
      </c>
      <c r="D135" s="0"/>
      <c r="G135" s="185"/>
      <c r="H135" s="185"/>
      <c r="I135" s="185"/>
      <c r="J135" s="185"/>
      <c r="K135" s="185" t="n">
        <f aca="false">J$114*K$118</f>
        <v>389.145</v>
      </c>
      <c r="L135" s="185" t="n">
        <f aca="false">K135</f>
        <v>389.145</v>
      </c>
      <c r="M135" s="185" t="n">
        <f aca="false">L135</f>
        <v>389.145</v>
      </c>
      <c r="N135" s="185" t="n">
        <f aca="false">M135</f>
        <v>389.145</v>
      </c>
      <c r="O135" s="185" t="n">
        <f aca="false">N135</f>
        <v>389.145</v>
      </c>
      <c r="P135" s="185" t="n">
        <f aca="false">O135</f>
        <v>389.145</v>
      </c>
      <c r="Q135" s="185" t="n">
        <f aca="false">P135</f>
        <v>389.145</v>
      </c>
      <c r="R135" s="191"/>
    </row>
    <row r="136" customFormat="false" ht="12.75" hidden="true" customHeight="false" outlineLevel="1" collapsed="false">
      <c r="A136" s="0" t="n">
        <v>2005</v>
      </c>
      <c r="B136" s="0" t="s">
        <v>271</v>
      </c>
      <c r="D136" s="0"/>
      <c r="G136" s="185"/>
      <c r="H136" s="185"/>
      <c r="I136" s="185"/>
      <c r="J136" s="185"/>
      <c r="K136" s="185"/>
      <c r="L136" s="185" t="n">
        <f aca="false">K$114*L$118</f>
        <v>389.145</v>
      </c>
      <c r="M136" s="185" t="n">
        <f aca="false">L136</f>
        <v>389.145</v>
      </c>
      <c r="N136" s="185" t="n">
        <f aca="false">M136</f>
        <v>389.145</v>
      </c>
      <c r="O136" s="185" t="n">
        <f aca="false">N136</f>
        <v>389.145</v>
      </c>
      <c r="P136" s="185" t="n">
        <f aca="false">O136</f>
        <v>389.145</v>
      </c>
      <c r="Q136" s="185" t="n">
        <f aca="false">P136</f>
        <v>389.145</v>
      </c>
      <c r="R136" s="191"/>
    </row>
    <row r="137" customFormat="false" ht="12.75" hidden="true" customHeight="false" outlineLevel="1" collapsed="false">
      <c r="A137" s="0" t="n">
        <v>2006</v>
      </c>
      <c r="B137" s="0" t="s">
        <v>271</v>
      </c>
      <c r="D137" s="0"/>
      <c r="G137" s="185"/>
      <c r="H137" s="185"/>
      <c r="I137" s="185"/>
      <c r="J137" s="185"/>
      <c r="K137" s="185"/>
      <c r="L137" s="185"/>
      <c r="M137" s="185" t="n">
        <f aca="false">L$114*M$118</f>
        <v>389.145</v>
      </c>
      <c r="N137" s="185" t="n">
        <f aca="false">M137</f>
        <v>389.145</v>
      </c>
      <c r="O137" s="185" t="n">
        <f aca="false">N137</f>
        <v>389.145</v>
      </c>
      <c r="P137" s="185" t="n">
        <f aca="false">O137</f>
        <v>389.145</v>
      </c>
      <c r="Q137" s="185" t="n">
        <f aca="false">P137</f>
        <v>389.145</v>
      </c>
      <c r="R137" s="191"/>
    </row>
    <row r="138" customFormat="false" ht="12.75" hidden="true" customHeight="false" outlineLevel="1" collapsed="false">
      <c r="A138" s="0" t="n">
        <v>2007</v>
      </c>
      <c r="B138" s="0" t="s">
        <v>271</v>
      </c>
      <c r="D138" s="0"/>
      <c r="G138" s="185"/>
      <c r="H138" s="185"/>
      <c r="I138" s="185"/>
      <c r="J138" s="185"/>
      <c r="K138" s="185"/>
      <c r="L138" s="185"/>
      <c r="M138" s="185"/>
      <c r="N138" s="185" t="n">
        <f aca="false">M$114*N$118</f>
        <v>389.145</v>
      </c>
      <c r="O138" s="185" t="n">
        <f aca="false">N138</f>
        <v>389.145</v>
      </c>
      <c r="P138" s="185" t="n">
        <f aca="false">O138</f>
        <v>389.145</v>
      </c>
      <c r="Q138" s="185" t="n">
        <f aca="false">P138</f>
        <v>389.145</v>
      </c>
      <c r="R138" s="191"/>
    </row>
    <row r="139" customFormat="false" ht="12.75" hidden="true" customHeight="false" outlineLevel="1" collapsed="false">
      <c r="A139" s="0" t="n">
        <v>2008</v>
      </c>
      <c r="B139" s="0" t="s">
        <v>271</v>
      </c>
      <c r="D139" s="0"/>
      <c r="G139" s="185"/>
      <c r="H139" s="185"/>
      <c r="I139" s="185"/>
      <c r="J139" s="185"/>
      <c r="K139" s="185"/>
      <c r="L139" s="185"/>
      <c r="M139" s="185"/>
      <c r="N139" s="185"/>
      <c r="O139" s="185" t="n">
        <f aca="false">N$114*O$118</f>
        <v>389.145</v>
      </c>
      <c r="P139" s="185" t="n">
        <f aca="false">O139</f>
        <v>389.145</v>
      </c>
      <c r="Q139" s="185" t="n">
        <f aca="false">P139</f>
        <v>389.145</v>
      </c>
      <c r="R139" s="191"/>
    </row>
    <row r="140" customFormat="false" ht="12.75" hidden="true" customHeight="false" outlineLevel="1" collapsed="false">
      <c r="A140" s="0" t="n">
        <v>2009</v>
      </c>
      <c r="B140" s="0" t="s">
        <v>271</v>
      </c>
      <c r="D140" s="0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 t="n">
        <f aca="false">O$114*P$118</f>
        <v>389.145</v>
      </c>
      <c r="Q140" s="185" t="n">
        <f aca="false">P140</f>
        <v>389.145</v>
      </c>
      <c r="R140" s="191"/>
    </row>
    <row r="141" customFormat="false" ht="12.75" hidden="true" customHeight="false" outlineLevel="1" collapsed="false">
      <c r="A141" s="0" t="n">
        <v>2010</v>
      </c>
      <c r="B141" s="0" t="s">
        <v>271</v>
      </c>
      <c r="D141" s="0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 t="n">
        <f aca="false">P$114*Q$118</f>
        <v>389.145</v>
      </c>
      <c r="R141" s="191"/>
    </row>
    <row r="142" customFormat="false" ht="12.75" hidden="true" customHeight="false" outlineLevel="1" collapsed="false">
      <c r="A142" s="0" t="s">
        <v>267</v>
      </c>
      <c r="D142" s="0"/>
      <c r="G142" s="544" t="n">
        <f aca="false">SUM(G131:G141)</f>
        <v>3691.14</v>
      </c>
      <c r="H142" s="544" t="n">
        <f aca="false">SUM(H131:H141)</f>
        <v>6995.205</v>
      </c>
      <c r="I142" s="544" t="n">
        <f aca="false">SUM(I131:I141)</f>
        <v>11316.36</v>
      </c>
      <c r="J142" s="544" t="n">
        <f aca="false">SUM(J131:J141)</f>
        <v>12145.77</v>
      </c>
      <c r="K142" s="544" t="n">
        <f aca="false">SUM(K131:K141)</f>
        <v>12534.915</v>
      </c>
      <c r="L142" s="544" t="n">
        <f aca="false">SUM(L131:L141)</f>
        <v>12924.06</v>
      </c>
      <c r="M142" s="544" t="n">
        <f aca="false">SUM(M131:M141)</f>
        <v>13313.205</v>
      </c>
      <c r="N142" s="544" t="n">
        <f aca="false">SUM(N131:N141)</f>
        <v>13702.35</v>
      </c>
      <c r="O142" s="544" t="n">
        <f aca="false">SUM(O131:O141)</f>
        <v>14091.495</v>
      </c>
      <c r="P142" s="544" t="n">
        <f aca="false">SUM(P131:P141)</f>
        <v>14480.64</v>
      </c>
      <c r="Q142" s="544" t="n">
        <f aca="false">SUM(Q131:Q141)</f>
        <v>14869.785</v>
      </c>
      <c r="R142" s="191"/>
    </row>
    <row r="143" customFormat="false" ht="12.75" hidden="true" customHeight="false" outlineLevel="1" collapsed="false">
      <c r="D143" s="0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91"/>
    </row>
    <row r="144" customFormat="false" ht="12.75" hidden="true" customHeight="false" outlineLevel="1" collapsed="false">
      <c r="A144" s="0" t="n">
        <v>2000</v>
      </c>
      <c r="B144" s="0" t="s">
        <v>271</v>
      </c>
      <c r="D144" s="0"/>
      <c r="G144" s="185" t="n">
        <f aca="false">$F$114*G$124</f>
        <v>12303.8</v>
      </c>
      <c r="H144" s="185" t="n">
        <f aca="false">$F$114*H$124</f>
        <v>23377.22</v>
      </c>
      <c r="I144" s="185" t="n">
        <f aca="false">$F$114*I$124</f>
        <v>21039.498</v>
      </c>
      <c r="J144" s="185" t="n">
        <f aca="false">$F$114*J$124</f>
        <v>18947.852</v>
      </c>
      <c r="K144" s="185" t="n">
        <f aca="false">$F$114*K$124</f>
        <v>17053.0668</v>
      </c>
      <c r="L144" s="185" t="n">
        <f aca="false">$F$114*L$124</f>
        <v>15330.5348</v>
      </c>
      <c r="M144" s="185" t="n">
        <f aca="false">$F$114*M$124</f>
        <v>14518.484</v>
      </c>
      <c r="N144" s="185" t="n">
        <f aca="false">$F$114*N$124</f>
        <v>14518.484</v>
      </c>
      <c r="O144" s="185" t="n">
        <f aca="false">$F$114*O$124</f>
        <v>14543.0916</v>
      </c>
      <c r="P144" s="185" t="n">
        <f aca="false">$F$114*P$124</f>
        <v>14518.484</v>
      </c>
      <c r="Q144" s="185" t="n">
        <f aca="false">$F$114*Q$124</f>
        <v>14543.0916</v>
      </c>
      <c r="R144" s="191"/>
    </row>
    <row r="145" customFormat="false" ht="12.75" hidden="true" customHeight="false" outlineLevel="1" collapsed="false">
      <c r="A145" s="0" t="n">
        <v>2001</v>
      </c>
      <c r="B145" s="0" t="s">
        <v>271</v>
      </c>
      <c r="D145" s="0"/>
      <c r="G145" s="185"/>
      <c r="H145" s="185" t="n">
        <f aca="false">$G$114*G$124</f>
        <v>11013.55</v>
      </c>
      <c r="I145" s="185" t="n">
        <f aca="false">$G$114*H$124</f>
        <v>20925.745</v>
      </c>
      <c r="J145" s="185" t="n">
        <f aca="false">$G$114*I$124</f>
        <v>18833.1705</v>
      </c>
      <c r="K145" s="185" t="n">
        <f aca="false">$G$114*J$124</f>
        <v>16960.867</v>
      </c>
      <c r="L145" s="185" t="n">
        <f aca="false">$G$114*K$124</f>
        <v>15264.7803</v>
      </c>
      <c r="M145" s="185" t="n">
        <f aca="false">$G$114*L$124</f>
        <v>13722.8833</v>
      </c>
      <c r="N145" s="185" t="n">
        <f aca="false">$G$114*M$124</f>
        <v>12995.989</v>
      </c>
      <c r="O145" s="185" t="n">
        <f aca="false">$G$114*N$124</f>
        <v>12995.989</v>
      </c>
      <c r="P145" s="185" t="n">
        <f aca="false">$G$114*O$124</f>
        <v>13018.0161</v>
      </c>
      <c r="Q145" s="185" t="n">
        <f aca="false">$G$114*P$124</f>
        <v>12995.989</v>
      </c>
      <c r="R145" s="191"/>
    </row>
    <row r="146" customFormat="false" ht="12.75" hidden="true" customHeight="false" outlineLevel="1" collapsed="false">
      <c r="A146" s="0" t="n">
        <v>2002</v>
      </c>
      <c r="B146" s="0" t="s">
        <v>271</v>
      </c>
      <c r="D146" s="0"/>
      <c r="G146" s="185"/>
      <c r="H146" s="185"/>
      <c r="I146" s="185" t="n">
        <f aca="false">$H$114*G$124</f>
        <v>14403.85</v>
      </c>
      <c r="J146" s="185" t="n">
        <f aca="false">$H$114*H$124</f>
        <v>27367.315</v>
      </c>
      <c r="K146" s="185" t="n">
        <f aca="false">$H$114*I$124</f>
        <v>24630.5835</v>
      </c>
      <c r="L146" s="185" t="n">
        <f aca="false">$H$114*J$124</f>
        <v>22181.929</v>
      </c>
      <c r="M146" s="185" t="n">
        <f aca="false">$H$114*K$124</f>
        <v>19963.7361</v>
      </c>
      <c r="N146" s="185" t="n">
        <f aca="false">$H$114*L$124</f>
        <v>17947.1971</v>
      </c>
      <c r="O146" s="185" t="n">
        <f aca="false">$H$114*M$124</f>
        <v>16996.543</v>
      </c>
      <c r="P146" s="185" t="n">
        <f aca="false">$H$114*N$124</f>
        <v>16996.543</v>
      </c>
      <c r="Q146" s="185" t="n">
        <f aca="false">$H$114*O$124</f>
        <v>17025.3507</v>
      </c>
      <c r="R146" s="191"/>
    </row>
    <row r="147" customFormat="false" ht="12.75" hidden="true" customHeight="false" outlineLevel="1" collapsed="false">
      <c r="A147" s="0" t="n">
        <v>2003</v>
      </c>
      <c r="B147" s="0" t="s">
        <v>271</v>
      </c>
      <c r="D147" s="0"/>
      <c r="G147" s="185"/>
      <c r="H147" s="185"/>
      <c r="I147" s="185"/>
      <c r="J147" s="185" t="n">
        <f aca="false">$I$114*G$124</f>
        <v>2764.7</v>
      </c>
      <c r="K147" s="185" t="n">
        <f aca="false">$I$114*H$124</f>
        <v>5252.93</v>
      </c>
      <c r="L147" s="185" t="n">
        <f aca="false">$I$114*I$124</f>
        <v>4727.637</v>
      </c>
      <c r="M147" s="185" t="n">
        <f aca="false">$I$114*J$124</f>
        <v>4257.638</v>
      </c>
      <c r="N147" s="185" t="n">
        <f aca="false">$I$114*K$124</f>
        <v>3831.8742</v>
      </c>
      <c r="O147" s="185" t="n">
        <f aca="false">$I$114*L$124</f>
        <v>3444.8162</v>
      </c>
      <c r="P147" s="185" t="n">
        <f aca="false">$I$114*M$124</f>
        <v>3262.346</v>
      </c>
      <c r="Q147" s="185" t="n">
        <f aca="false">$I$114*N$124</f>
        <v>3262.346</v>
      </c>
      <c r="R147" s="191"/>
    </row>
    <row r="148" customFormat="false" ht="12.75" hidden="true" customHeight="false" outlineLevel="1" collapsed="false">
      <c r="A148" s="0" t="n">
        <v>2004</v>
      </c>
      <c r="B148" s="0" t="s">
        <v>271</v>
      </c>
      <c r="D148" s="0"/>
      <c r="G148" s="185"/>
      <c r="H148" s="185"/>
      <c r="I148" s="185"/>
      <c r="J148" s="185"/>
      <c r="K148" s="185" t="n">
        <f aca="false">$J$114*G$124</f>
        <v>1297.15</v>
      </c>
      <c r="L148" s="185" t="n">
        <f aca="false">$J$114*H$124</f>
        <v>2464.585</v>
      </c>
      <c r="M148" s="185" t="n">
        <f aca="false">$J$114*I$124</f>
        <v>2218.1265</v>
      </c>
      <c r="N148" s="185" t="n">
        <f aca="false">$J$114*J$124</f>
        <v>1997.611</v>
      </c>
      <c r="O148" s="185" t="n">
        <f aca="false">$J$114*K$124</f>
        <v>1797.8499</v>
      </c>
      <c r="P148" s="185" t="n">
        <f aca="false">$J$114*L$124</f>
        <v>1616.2489</v>
      </c>
      <c r="Q148" s="185" t="n">
        <f aca="false">$J$114*M$124</f>
        <v>1530.637</v>
      </c>
      <c r="R148" s="191"/>
    </row>
    <row r="149" customFormat="false" ht="12.75" hidden="true" customHeight="false" outlineLevel="1" collapsed="false">
      <c r="A149" s="0" t="n">
        <v>2005</v>
      </c>
      <c r="B149" s="0" t="s">
        <v>271</v>
      </c>
      <c r="D149" s="0"/>
      <c r="G149" s="185"/>
      <c r="H149" s="185"/>
      <c r="I149" s="185"/>
      <c r="J149" s="185"/>
      <c r="K149" s="185"/>
      <c r="L149" s="185" t="n">
        <f aca="false">$K$114*G$124</f>
        <v>1297.15</v>
      </c>
      <c r="M149" s="185" t="n">
        <f aca="false">$K$114*H$124</f>
        <v>2464.585</v>
      </c>
      <c r="N149" s="185" t="n">
        <f aca="false">$K$114*I$124</f>
        <v>2218.1265</v>
      </c>
      <c r="O149" s="185" t="n">
        <f aca="false">$K$114*J$124</f>
        <v>1997.611</v>
      </c>
      <c r="P149" s="185" t="n">
        <f aca="false">$K$114*K$124</f>
        <v>1797.8499</v>
      </c>
      <c r="Q149" s="185" t="n">
        <f aca="false">$K$114*L$124</f>
        <v>1616.2489</v>
      </c>
      <c r="R149" s="191"/>
    </row>
    <row r="150" customFormat="false" ht="12.75" hidden="true" customHeight="false" outlineLevel="1" collapsed="false">
      <c r="A150" s="0" t="n">
        <v>2006</v>
      </c>
      <c r="B150" s="0" t="s">
        <v>271</v>
      </c>
      <c r="D150" s="0"/>
      <c r="G150" s="185"/>
      <c r="H150" s="185"/>
      <c r="I150" s="185"/>
      <c r="J150" s="185"/>
      <c r="K150" s="185"/>
      <c r="L150" s="185"/>
      <c r="M150" s="185" t="n">
        <f aca="false">$L$114*G$124</f>
        <v>1297.15</v>
      </c>
      <c r="N150" s="185" t="n">
        <f aca="false">$L$114*H$124</f>
        <v>2464.585</v>
      </c>
      <c r="O150" s="185" t="n">
        <f aca="false">$L$114*I$124</f>
        <v>2218.1265</v>
      </c>
      <c r="P150" s="185" t="n">
        <f aca="false">$L$114*J$124</f>
        <v>1997.611</v>
      </c>
      <c r="Q150" s="185" t="n">
        <f aca="false">$L$114*K$124</f>
        <v>1797.8499</v>
      </c>
      <c r="R150" s="191"/>
    </row>
    <row r="151" customFormat="false" ht="12.75" hidden="true" customHeight="false" outlineLevel="1" collapsed="false">
      <c r="A151" s="0" t="n">
        <v>2007</v>
      </c>
      <c r="B151" s="0" t="s">
        <v>271</v>
      </c>
      <c r="D151" s="0"/>
      <c r="G151" s="185"/>
      <c r="H151" s="185"/>
      <c r="I151" s="185"/>
      <c r="J151" s="185"/>
      <c r="K151" s="185"/>
      <c r="L151" s="185"/>
      <c r="M151" s="185"/>
      <c r="N151" s="185" t="n">
        <f aca="false">$M$114*G$124</f>
        <v>1297.15</v>
      </c>
      <c r="O151" s="185" t="n">
        <f aca="false">$M$114*H$124</f>
        <v>2464.585</v>
      </c>
      <c r="P151" s="185" t="n">
        <f aca="false">$M$114*I$124</f>
        <v>2218.1265</v>
      </c>
      <c r="Q151" s="185" t="n">
        <f aca="false">$M$114*J$124</f>
        <v>1997.611</v>
      </c>
      <c r="R151" s="191"/>
    </row>
    <row r="152" customFormat="false" ht="12.75" hidden="true" customHeight="false" outlineLevel="1" collapsed="false">
      <c r="A152" s="0" t="n">
        <v>2008</v>
      </c>
      <c r="B152" s="0" t="s">
        <v>271</v>
      </c>
      <c r="D152" s="0"/>
      <c r="G152" s="185"/>
      <c r="H152" s="185"/>
      <c r="I152" s="185"/>
      <c r="J152" s="185"/>
      <c r="K152" s="185"/>
      <c r="L152" s="185"/>
      <c r="M152" s="185"/>
      <c r="N152" s="185"/>
      <c r="O152" s="185" t="n">
        <f aca="false">$N$114*G$124</f>
        <v>1297.15</v>
      </c>
      <c r="P152" s="185" t="n">
        <f aca="false">$N$114*H$124</f>
        <v>2464.585</v>
      </c>
      <c r="Q152" s="185" t="n">
        <f aca="false">$N$114*I$124</f>
        <v>2218.1265</v>
      </c>
      <c r="R152" s="191"/>
    </row>
    <row r="153" customFormat="false" ht="12.75" hidden="true" customHeight="false" outlineLevel="1" collapsed="false">
      <c r="A153" s="0" t="n">
        <v>2009</v>
      </c>
      <c r="B153" s="0" t="s">
        <v>271</v>
      </c>
      <c r="D153" s="0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 t="n">
        <f aca="false">$O$114*G$124</f>
        <v>1297.15</v>
      </c>
      <c r="Q153" s="185" t="n">
        <f aca="false">$O$114*H$124</f>
        <v>2464.585</v>
      </c>
      <c r="R153" s="191"/>
    </row>
    <row r="154" customFormat="false" ht="12.75" hidden="true" customHeight="false" outlineLevel="1" collapsed="false">
      <c r="A154" s="0" t="n">
        <v>2010</v>
      </c>
      <c r="B154" s="0" t="s">
        <v>271</v>
      </c>
      <c r="D154" s="0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 t="n">
        <f aca="false">$P$114*G$124</f>
        <v>1297.15</v>
      </c>
      <c r="R154" s="191"/>
    </row>
    <row r="155" customFormat="false" ht="12.75" hidden="true" customHeight="false" outlineLevel="1" collapsed="false">
      <c r="D155" s="0"/>
      <c r="G155" s="544" t="n">
        <f aca="false">SUM(G144:G154)</f>
        <v>12303.8</v>
      </c>
      <c r="H155" s="544" t="n">
        <f aca="false">SUM(H144:H154)</f>
        <v>34390.77</v>
      </c>
      <c r="I155" s="544" t="n">
        <f aca="false">SUM(I144:I154)</f>
        <v>56369.093</v>
      </c>
      <c r="J155" s="544" t="n">
        <f aca="false">SUM(J144:J154)</f>
        <v>67913.0375</v>
      </c>
      <c r="K155" s="544" t="n">
        <f aca="false">SUM(K144:K154)</f>
        <v>65194.5973</v>
      </c>
      <c r="L155" s="544" t="n">
        <f aca="false">SUM(L144:L154)</f>
        <v>61266.6161</v>
      </c>
      <c r="M155" s="544" t="n">
        <f aca="false">SUM(M144:M154)</f>
        <v>58442.6029</v>
      </c>
      <c r="N155" s="544" t="n">
        <f aca="false">SUM(N144:N154)</f>
        <v>57271.0168</v>
      </c>
      <c r="O155" s="544" t="n">
        <f aca="false">SUM(O144:O154)</f>
        <v>57755.7622</v>
      </c>
      <c r="P155" s="544" t="n">
        <f aca="false">SUM(P144:P154)</f>
        <v>59186.9604</v>
      </c>
      <c r="Q155" s="544" t="n">
        <f aca="false">SUM(Q144:Q154)</f>
        <v>60748.9856</v>
      </c>
      <c r="R155" s="191"/>
    </row>
  </sheetData>
  <mergeCells count="1">
    <mergeCell ref="K57:M57"/>
  </mergeCells>
  <conditionalFormatting sqref="C11">
    <cfRule type="cellIs" priority="2" operator="notBetween" aboveAverage="0" equalAverage="0" bottom="0" percent="0" rank="0" text="" dxfId="4">
      <formula>0.25</formula>
      <formula>-0.25</formula>
    </cfRule>
  </conditionalFormatting>
  <printOptions headings="false" gridLines="false" gridLinesSet="true" horizontalCentered="true" verticalCentered="false"/>
  <pageMargins left="0" right="0" top="0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85" man="true" max="16383" min="0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63"/>
  <sheetViews>
    <sheetView showFormulas="false" showGridLines="false" showRowColHeaders="true" showZeros="true" rightToLeft="false" tabSelected="false" showOutlineSymbols="true" defaultGridColor="true" view="normal" topLeftCell="G24" colorId="64" zoomScale="75" zoomScaleNormal="75" zoomScalePageLayoutView="50" workbookViewId="0">
      <selection pane="topLeft" activeCell="H43" activeCellId="0" sqref="H43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38.85"/>
    <col collapsed="false" customWidth="true" hidden="false" outlineLevel="1" max="2" min="2" style="0" width="15.85"/>
    <col collapsed="false" customWidth="true" hidden="false" outlineLevel="1" max="3" min="3" style="0" width="12.85"/>
    <col collapsed="false" customWidth="true" hidden="false" outlineLevel="1" max="4" min="4" style="0" width="13.85"/>
    <col collapsed="false" customWidth="true" hidden="false" outlineLevel="0" max="6" min="5" style="204" width="15.56"/>
    <col collapsed="false" customWidth="true" hidden="false" outlineLevel="0" max="7" min="7" style="204" width="15.85"/>
    <col collapsed="false" customWidth="true" hidden="false" outlineLevel="0" max="8" min="8" style="0" width="16.84"/>
    <col collapsed="false" customWidth="true" hidden="false" outlineLevel="0" max="9" min="9" style="0" width="15.56"/>
    <col collapsed="false" customWidth="true" hidden="false" outlineLevel="0" max="11" min="10" style="0" width="15.28"/>
    <col collapsed="false" customWidth="true" hidden="false" outlineLevel="0" max="13" min="12" style="0" width="13.99"/>
    <col collapsed="false" customWidth="true" hidden="false" outlineLevel="0" max="14" min="14" style="0" width="15.85"/>
    <col collapsed="false" customWidth="true" hidden="false" outlineLevel="0" max="15" min="15" style="0" width="14.41"/>
    <col collapsed="false" customWidth="true" hidden="false" outlineLevel="0" max="16" min="16" style="0" width="15.13"/>
    <col collapsed="false" customWidth="true" hidden="false" outlineLevel="0" max="17" min="17" style="0" width="13.99"/>
    <col collapsed="false" customWidth="true" hidden="false" outlineLevel="0" max="18" min="18" style="0" width="15.99"/>
    <col collapsed="false" customWidth="true" hidden="false" outlineLevel="0" max="19" min="19" style="0" width="13.41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  <c r="D1" s="16"/>
      <c r="E1" s="437"/>
      <c r="F1" s="437"/>
      <c r="G1" s="395" t="s">
        <v>50</v>
      </c>
      <c r="H1" s="438"/>
      <c r="I1" s="439"/>
    </row>
    <row r="2" customFormat="false" ht="15.75" hidden="false" customHeight="false" outlineLevel="0" collapsed="false">
      <c r="A2" s="440" t="s">
        <v>83</v>
      </c>
      <c r="B2" s="441"/>
      <c r="C2" s="18"/>
      <c r="D2" s="16"/>
      <c r="E2" s="442"/>
      <c r="F2" s="442"/>
      <c r="G2" s="443"/>
      <c r="H2" s="318"/>
      <c r="I2" s="444"/>
      <c r="J2" s="318"/>
      <c r="S2" s="204"/>
    </row>
    <row r="3" customFormat="false" ht="16.5" hidden="false" customHeight="false" outlineLevel="0" collapsed="false">
      <c r="A3" s="445" t="s">
        <v>218</v>
      </c>
      <c r="B3" s="446"/>
      <c r="C3" s="30"/>
      <c r="D3" s="16"/>
      <c r="E3" s="442"/>
      <c r="F3" s="442"/>
      <c r="G3" s="443"/>
      <c r="H3" s="16"/>
      <c r="I3" s="444"/>
      <c r="J3" s="318"/>
      <c r="S3" s="204"/>
    </row>
    <row r="4" customFormat="false" ht="13.5" hidden="false" customHeight="false" outlineLevel="0" collapsed="false">
      <c r="A4" s="447"/>
      <c r="B4" s="441"/>
      <c r="E4" s="442"/>
      <c r="F4" s="442"/>
      <c r="G4" s="448"/>
      <c r="H4" s="449"/>
      <c r="I4" s="450"/>
      <c r="J4" s="318"/>
      <c r="S4" s="204"/>
    </row>
    <row r="5" customFormat="false" ht="12.75" hidden="false" customHeight="false" outlineLevel="0" collapsed="false">
      <c r="A5" s="447"/>
      <c r="B5" s="441"/>
      <c r="E5" s="442"/>
      <c r="F5" s="442"/>
      <c r="G5" s="72"/>
      <c r="H5" s="318"/>
      <c r="I5" s="318"/>
      <c r="J5" s="318"/>
      <c r="S5" s="204"/>
    </row>
    <row r="6" customFormat="false" ht="15.75" hidden="false" customHeight="false" outlineLevel="0" collapsed="false">
      <c r="A6" s="284" t="s">
        <v>155</v>
      </c>
      <c r="B6" s="285"/>
      <c r="C6" s="85"/>
      <c r="D6" s="85"/>
      <c r="E6" s="286"/>
      <c r="F6" s="286"/>
      <c r="G6" s="85"/>
      <c r="H6" s="287"/>
      <c r="I6" s="287"/>
      <c r="J6" s="287"/>
      <c r="K6" s="85"/>
      <c r="L6" s="85"/>
      <c r="M6" s="85"/>
      <c r="N6" s="85"/>
      <c r="O6" s="85"/>
      <c r="P6" s="85"/>
      <c r="Q6" s="85"/>
      <c r="R6" s="85"/>
      <c r="S6" s="290"/>
    </row>
    <row r="7" customFormat="false" ht="12.75" hidden="false" customHeight="false" outlineLevel="0" collapsed="false">
      <c r="E7" s="292"/>
      <c r="F7" s="292"/>
      <c r="G7" s="293"/>
      <c r="H7" s="294" t="s">
        <v>156</v>
      </c>
      <c r="I7" s="295"/>
      <c r="J7" s="293"/>
      <c r="K7" s="293"/>
      <c r="L7" s="296"/>
      <c r="M7" s="293"/>
      <c r="N7" s="296"/>
      <c r="O7" s="296"/>
      <c r="P7" s="296"/>
      <c r="Q7" s="296"/>
      <c r="R7" s="75"/>
      <c r="S7" s="451"/>
      <c r="T7" s="451"/>
    </row>
    <row r="8" customFormat="false" ht="12.75" hidden="false" customHeight="false" outlineLevel="0" collapsed="false">
      <c r="D8" s="452" t="n">
        <v>1997</v>
      </c>
      <c r="E8" s="297" t="n">
        <v>1998</v>
      </c>
      <c r="F8" s="297" t="n">
        <v>1999</v>
      </c>
      <c r="G8" s="297" t="n">
        <v>2000</v>
      </c>
      <c r="H8" s="297" t="n">
        <v>2001</v>
      </c>
      <c r="I8" s="298" t="n">
        <v>2002</v>
      </c>
      <c r="J8" s="298" t="n">
        <v>2003</v>
      </c>
      <c r="K8" s="298" t="n">
        <v>2004</v>
      </c>
      <c r="L8" s="298" t="n">
        <v>2005</v>
      </c>
      <c r="M8" s="298" t="n">
        <v>2006</v>
      </c>
      <c r="N8" s="299" t="n">
        <v>2007</v>
      </c>
      <c r="O8" s="299" t="n">
        <v>2008</v>
      </c>
      <c r="P8" s="299" t="n">
        <v>2009</v>
      </c>
      <c r="Q8" s="299" t="n">
        <v>2010</v>
      </c>
      <c r="R8" s="300" t="n">
        <v>2011</v>
      </c>
      <c r="S8" s="187"/>
      <c r="T8" s="187"/>
    </row>
    <row r="9" customFormat="false" ht="12.75" hidden="false" customHeight="false" outlineLevel="0" collapsed="false">
      <c r="G9" s="301" t="s">
        <v>157</v>
      </c>
      <c r="H9" s="297" t="n">
        <v>1</v>
      </c>
      <c r="I9" s="298" t="n">
        <v>2</v>
      </c>
      <c r="J9" s="298" t="n">
        <v>3</v>
      </c>
      <c r="K9" s="298" t="n">
        <v>4</v>
      </c>
      <c r="L9" s="298" t="n">
        <v>5</v>
      </c>
      <c r="M9" s="298" t="n">
        <v>6</v>
      </c>
      <c r="N9" s="298" t="n">
        <v>7</v>
      </c>
      <c r="O9" s="298" t="n">
        <v>8</v>
      </c>
      <c r="P9" s="298" t="n">
        <v>9</v>
      </c>
      <c r="Q9" s="298" t="n">
        <v>10</v>
      </c>
      <c r="R9" s="302" t="n">
        <v>11</v>
      </c>
      <c r="S9" s="187"/>
      <c r="T9" s="187"/>
    </row>
    <row r="10" customFormat="false" ht="12.75" hidden="false" customHeight="false" outlineLevel="0" collapsed="false">
      <c r="E10" s="442"/>
      <c r="F10" s="442"/>
      <c r="G10" s="187"/>
      <c r="H10" s="453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204"/>
    </row>
    <row r="11" customFormat="false" ht="12.75" hidden="false" customHeight="false" outlineLevel="0" collapsed="false">
      <c r="A11" s="454" t="s">
        <v>160</v>
      </c>
      <c r="B11" s="455"/>
      <c r="C11" s="456"/>
      <c r="D11" s="457" t="n">
        <f aca="false">D59</f>
        <v>35137.755</v>
      </c>
      <c r="E11" s="457" t="n">
        <f aca="false">E59</f>
        <v>42737.522</v>
      </c>
      <c r="F11" s="457" t="n">
        <f aca="false">F59</f>
        <v>33711.148</v>
      </c>
      <c r="G11" s="457" t="n">
        <f aca="false">G59</f>
        <v>29084.758</v>
      </c>
      <c r="H11" s="176" t="n">
        <f aca="false">H59</f>
        <v>27803.5145956992</v>
      </c>
      <c r="I11" s="176" t="n">
        <f aca="false">I59</f>
        <v>27803.5145956992</v>
      </c>
      <c r="J11" s="176" t="n">
        <f aca="false">J59</f>
        <v>27803.5145956992</v>
      </c>
      <c r="K11" s="176" t="n">
        <f aca="false">K59</f>
        <v>27803.5145956992</v>
      </c>
      <c r="L11" s="176" t="n">
        <f aca="false">L59</f>
        <v>27803.5145956992</v>
      </c>
      <c r="M11" s="176" t="n">
        <f aca="false">M59</f>
        <v>27803.5145956992</v>
      </c>
      <c r="N11" s="176" t="n">
        <f aca="false">N59</f>
        <v>27803.5145956992</v>
      </c>
      <c r="O11" s="176" t="n">
        <f aca="false">O59</f>
        <v>27803.5145956992</v>
      </c>
      <c r="P11" s="176" t="n">
        <f aca="false">P59</f>
        <v>27803.5145956992</v>
      </c>
      <c r="Q11" s="176" t="n">
        <f aca="false">Q59</f>
        <v>27803.5145956992</v>
      </c>
      <c r="R11" s="176" t="n">
        <f aca="false">R59</f>
        <v>27803.5145956992</v>
      </c>
      <c r="S11" s="204"/>
    </row>
    <row r="12" customFormat="false" ht="12.75" hidden="false" customHeight="false" outlineLevel="0" collapsed="false">
      <c r="D12" s="458"/>
      <c r="E12" s="458"/>
      <c r="F12" s="458"/>
      <c r="G12" s="310"/>
      <c r="H12" s="453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204"/>
    </row>
    <row r="13" customFormat="false" ht="12.75" hidden="false" customHeight="false" outlineLevel="0" collapsed="false">
      <c r="A13" s="25" t="s">
        <v>219</v>
      </c>
      <c r="B13" s="459"/>
      <c r="C13" s="16"/>
      <c r="D13" s="457" t="n">
        <f aca="false">D83</f>
        <v>4057.8</v>
      </c>
      <c r="E13" s="457" t="n">
        <f aca="false">E83</f>
        <v>4435.856</v>
      </c>
      <c r="F13" s="457" t="n">
        <f aca="false">F83</f>
        <v>3706.308</v>
      </c>
      <c r="G13" s="457" t="n">
        <f aca="false">G83</f>
        <v>4473</v>
      </c>
      <c r="H13" s="176" t="n">
        <f aca="false">H83</f>
        <v>4619.3</v>
      </c>
      <c r="I13" s="176" t="n">
        <f aca="false">I83</f>
        <v>4619.3</v>
      </c>
      <c r="J13" s="176" t="n">
        <f aca="false">J83</f>
        <v>4619.3</v>
      </c>
      <c r="K13" s="176" t="n">
        <f aca="false">K83</f>
        <v>4619.3</v>
      </c>
      <c r="L13" s="176" t="n">
        <f aca="false">L83</f>
        <v>4619.3</v>
      </c>
      <c r="M13" s="176" t="n">
        <f aca="false">M83</f>
        <v>4619.3</v>
      </c>
      <c r="N13" s="176" t="n">
        <f aca="false">N83</f>
        <v>4619.3</v>
      </c>
      <c r="O13" s="176" t="n">
        <f aca="false">O83</f>
        <v>4619.3</v>
      </c>
      <c r="P13" s="176" t="n">
        <f aca="false">P83</f>
        <v>4619.3</v>
      </c>
      <c r="Q13" s="176" t="n">
        <f aca="false">Q83</f>
        <v>4619.3</v>
      </c>
      <c r="R13" s="176" t="n">
        <f aca="false">R83</f>
        <v>4619.3</v>
      </c>
      <c r="S13" s="204"/>
    </row>
    <row r="14" customFormat="false" ht="12.75" hidden="false" customHeight="false" outlineLevel="0" collapsed="false">
      <c r="A14" s="25"/>
      <c r="B14" s="459"/>
      <c r="C14" s="16"/>
      <c r="D14" s="460"/>
      <c r="E14" s="460"/>
      <c r="F14" s="460"/>
      <c r="G14" s="460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04"/>
    </row>
    <row r="15" customFormat="false" ht="12.75" hidden="false" customHeight="false" outlineLevel="0" collapsed="false">
      <c r="A15" s="25" t="s">
        <v>197</v>
      </c>
      <c r="B15" s="16"/>
      <c r="C15" s="16"/>
      <c r="D15" s="457" t="n">
        <f aca="false">(D11-D13)</f>
        <v>31079.955</v>
      </c>
      <c r="E15" s="457" t="n">
        <f aca="false">(E11-E13)</f>
        <v>38301.666</v>
      </c>
      <c r="F15" s="457" t="n">
        <f aca="false">(F11-F13)</f>
        <v>30004.84</v>
      </c>
      <c r="G15" s="457" t="n">
        <f aca="false">(G11-G13)</f>
        <v>24611.758</v>
      </c>
      <c r="H15" s="176" t="n">
        <f aca="false">(H11-H13)</f>
        <v>23184.2145956992</v>
      </c>
      <c r="I15" s="176" t="n">
        <f aca="false">(I11-I13)</f>
        <v>23184.2145956992</v>
      </c>
      <c r="J15" s="176" t="n">
        <f aca="false">(J11-J13)</f>
        <v>23184.2145956992</v>
      </c>
      <c r="K15" s="176" t="n">
        <f aca="false">(K11-K13)</f>
        <v>23184.2145956992</v>
      </c>
      <c r="L15" s="176" t="n">
        <f aca="false">(L11-L13)</f>
        <v>23184.2145956992</v>
      </c>
      <c r="M15" s="176" t="n">
        <f aca="false">(M11-M13)</f>
        <v>23184.2145956992</v>
      </c>
      <c r="N15" s="176" t="n">
        <f aca="false">(N11-N13)</f>
        <v>23184.2145956992</v>
      </c>
      <c r="O15" s="176" t="n">
        <f aca="false">(O11-O13)</f>
        <v>23184.2145956992</v>
      </c>
      <c r="P15" s="176" t="n">
        <f aca="false">(P11-P13)</f>
        <v>23184.2145956992</v>
      </c>
      <c r="Q15" s="176" t="n">
        <f aca="false">(Q11-Q13)</f>
        <v>23184.2145956992</v>
      </c>
      <c r="R15" s="176" t="n">
        <f aca="false">(R11-R13)</f>
        <v>23184.2145956992</v>
      </c>
      <c r="S15" s="204"/>
    </row>
    <row r="16" customFormat="false" ht="12.75" hidden="false" customHeight="false" outlineLevel="0" collapsed="false">
      <c r="A16" s="461" t="s">
        <v>220</v>
      </c>
      <c r="B16" s="53"/>
      <c r="C16" s="53"/>
      <c r="D16" s="322" t="n">
        <f aca="false">D11/D13</f>
        <v>8.6593116959929</v>
      </c>
      <c r="E16" s="322" t="n">
        <f aca="false">E11/E13</f>
        <v>9.63456027427401</v>
      </c>
      <c r="F16" s="322" t="n">
        <f aca="false">F11/F13</f>
        <v>9.09561428785735</v>
      </c>
      <c r="G16" s="322" t="n">
        <f aca="false">G11/G13</f>
        <v>6.50229331544825</v>
      </c>
      <c r="H16" s="323" t="n">
        <f aca="false">H11/H13</f>
        <v>6.01898872030377</v>
      </c>
      <c r="I16" s="323" t="n">
        <f aca="false">I11/I13</f>
        <v>6.01898872030377</v>
      </c>
      <c r="J16" s="323" t="n">
        <f aca="false">J11/J13</f>
        <v>6.01898872030377</v>
      </c>
      <c r="K16" s="323" t="n">
        <f aca="false">K11/K13</f>
        <v>6.01898872030377</v>
      </c>
      <c r="L16" s="323" t="n">
        <f aca="false">L11/L13</f>
        <v>6.01898872030377</v>
      </c>
      <c r="M16" s="323" t="n">
        <f aca="false">M11/M13</f>
        <v>6.01898872030377</v>
      </c>
      <c r="N16" s="323" t="n">
        <f aca="false">N11/N13</f>
        <v>6.01898872030377</v>
      </c>
      <c r="O16" s="323" t="n">
        <f aca="false">O11/O13</f>
        <v>6.01898872030377</v>
      </c>
      <c r="P16" s="323" t="n">
        <f aca="false">P11/P13</f>
        <v>6.01898872030377</v>
      </c>
      <c r="Q16" s="323" t="n">
        <f aca="false">Q11/Q13</f>
        <v>6.01898872030377</v>
      </c>
      <c r="R16" s="323" t="n">
        <f aca="false">R11/R13</f>
        <v>6.01898872030377</v>
      </c>
      <c r="S16" s="204"/>
    </row>
    <row r="17" customFormat="false" ht="12.75" hidden="false" customHeight="false" outlineLevel="0" collapsed="false">
      <c r="A17" s="461" t="s">
        <v>221</v>
      </c>
      <c r="B17" s="53"/>
      <c r="C17" s="53"/>
      <c r="D17" s="462" t="n">
        <f aca="false">(D11-D13)/D11</f>
        <v>0.884517380236728</v>
      </c>
      <c r="E17" s="462" t="n">
        <f aca="false">(E11-E13)/E11</f>
        <v>0.896206991130651</v>
      </c>
      <c r="F17" s="462" t="n">
        <f aca="false">(F11-F13)/F11</f>
        <v>0.89005690343147</v>
      </c>
      <c r="G17" s="462" t="n">
        <f aca="false">(G11-G13)/G11</f>
        <v>0.846208106665354</v>
      </c>
      <c r="H17" s="463" t="n">
        <f aca="false">(H11-H13)/H11</f>
        <v>0.833859133740073</v>
      </c>
      <c r="I17" s="463" t="n">
        <f aca="false">(I11-I13)/I11</f>
        <v>0.833859133740073</v>
      </c>
      <c r="J17" s="463" t="n">
        <f aca="false">(J11-J13)/J11</f>
        <v>0.833859133740073</v>
      </c>
      <c r="K17" s="463" t="n">
        <f aca="false">(K11-K13)/K11</f>
        <v>0.833859133740073</v>
      </c>
      <c r="L17" s="463" t="n">
        <f aca="false">(L11-L13)/L11</f>
        <v>0.833859133740073</v>
      </c>
      <c r="M17" s="463" t="n">
        <f aca="false">(M11-M13)/M11</f>
        <v>0.833859133740073</v>
      </c>
      <c r="N17" s="463" t="n">
        <f aca="false">(N11-N13)/N11</f>
        <v>0.833859133740073</v>
      </c>
      <c r="O17" s="463" t="n">
        <f aca="false">(O11-O13)/O11</f>
        <v>0.833859133740073</v>
      </c>
      <c r="P17" s="463" t="n">
        <f aca="false">(P11-P13)/P11</f>
        <v>0.833859133740073</v>
      </c>
      <c r="Q17" s="463" t="n">
        <f aca="false">(Q11-Q13)/Q11</f>
        <v>0.833859133740073</v>
      </c>
      <c r="R17" s="463" t="n">
        <f aca="false">(R11-R13)/R11</f>
        <v>0.833859133740073</v>
      </c>
      <c r="S17" s="204"/>
    </row>
    <row r="18" customFormat="false" ht="12.75" hidden="false" customHeight="false" outlineLevel="0" collapsed="false">
      <c r="D18" s="305"/>
      <c r="E18" s="305"/>
      <c r="F18" s="305"/>
      <c r="G18" s="305"/>
      <c r="H18" s="204"/>
      <c r="S18" s="204"/>
    </row>
    <row r="19" customFormat="false" ht="12.75" hidden="false" customHeight="false" outlineLevel="0" collapsed="false">
      <c r="A19" s="386" t="s">
        <v>222</v>
      </c>
      <c r="D19" s="464" t="n">
        <v>622</v>
      </c>
      <c r="E19" s="464" t="n">
        <v>637.8</v>
      </c>
      <c r="F19" s="464" t="n">
        <v>978.9</v>
      </c>
      <c r="G19" s="465" t="n">
        <v>1294.5</v>
      </c>
      <c r="H19" s="184" t="n">
        <f aca="false">G19</f>
        <v>1294.5</v>
      </c>
      <c r="I19" s="184" t="n">
        <f aca="false">H19</f>
        <v>1294.5</v>
      </c>
      <c r="J19" s="184" t="n">
        <f aca="false">I19</f>
        <v>1294.5</v>
      </c>
      <c r="K19" s="184" t="n">
        <f aca="false">J19</f>
        <v>1294.5</v>
      </c>
      <c r="L19" s="184" t="n">
        <f aca="false">K19</f>
        <v>1294.5</v>
      </c>
      <c r="M19" s="184" t="n">
        <f aca="false">L19</f>
        <v>1294.5</v>
      </c>
      <c r="N19" s="184" t="n">
        <f aca="false">M19</f>
        <v>1294.5</v>
      </c>
      <c r="O19" s="184" t="n">
        <f aca="false">N19</f>
        <v>1294.5</v>
      </c>
      <c r="P19" s="184" t="n">
        <f aca="false">O19</f>
        <v>1294.5</v>
      </c>
      <c r="Q19" s="184" t="n">
        <f aca="false">P19</f>
        <v>1294.5</v>
      </c>
      <c r="R19" s="184" t="n">
        <f aca="false">Q19</f>
        <v>1294.5</v>
      </c>
      <c r="S19" s="204"/>
    </row>
    <row r="20" customFormat="false" ht="12.75" hidden="false" customHeight="false" outlineLevel="0" collapsed="false">
      <c r="A20" s="386" t="s">
        <v>168</v>
      </c>
      <c r="D20" s="464"/>
      <c r="E20" s="464" t="n">
        <v>0</v>
      </c>
      <c r="F20" s="464" t="n">
        <v>0</v>
      </c>
      <c r="G20" s="465" t="n">
        <v>0</v>
      </c>
      <c r="H20" s="184" t="n">
        <v>0</v>
      </c>
      <c r="I20" s="184" t="n">
        <f aca="false">H20</f>
        <v>0</v>
      </c>
      <c r="J20" s="184" t="n">
        <f aca="false">I20*Curves!F35</f>
        <v>0</v>
      </c>
      <c r="K20" s="184" t="n">
        <f aca="false">J20*Curves!G35</f>
        <v>0</v>
      </c>
      <c r="L20" s="184" t="n">
        <f aca="false">K20*Curves!H35</f>
        <v>0</v>
      </c>
      <c r="M20" s="184" t="n">
        <f aca="false">L20*Curves!I35</f>
        <v>0</v>
      </c>
      <c r="N20" s="184" t="n">
        <f aca="false">M20*Curves!J35</f>
        <v>0</v>
      </c>
      <c r="O20" s="184" t="n">
        <f aca="false">N20*Curves!K35</f>
        <v>0</v>
      </c>
      <c r="P20" s="184" t="n">
        <f aca="false">O20*Curves!L35</f>
        <v>0</v>
      </c>
      <c r="Q20" s="184" t="n">
        <f aca="false">P20*Curves!M35</f>
        <v>0</v>
      </c>
      <c r="R20" s="184" t="n">
        <f aca="false">Q20*Curves!N35</f>
        <v>0</v>
      </c>
      <c r="S20" s="204"/>
    </row>
    <row r="21" customFormat="false" ht="12.75" hidden="false" customHeight="false" outlineLevel="0" collapsed="false">
      <c r="A21" s="386" t="s">
        <v>309</v>
      </c>
      <c r="B21" s="466"/>
      <c r="D21" s="464" t="n">
        <f aca="false">D128</f>
        <v>9918.5</v>
      </c>
      <c r="E21" s="464" t="n">
        <f aca="false">E128</f>
        <v>16969.545</v>
      </c>
      <c r="F21" s="464" t="n">
        <f aca="false">F128</f>
        <v>16972.56</v>
      </c>
      <c r="G21" s="464" t="n">
        <f aca="false">G128</f>
        <v>10169.3</v>
      </c>
      <c r="H21" s="158" t="n">
        <f aca="false">H128</f>
        <v>10226.778516</v>
      </c>
      <c r="I21" s="158" t="n">
        <f aca="false">I128</f>
        <v>10231.8215359422</v>
      </c>
      <c r="J21" s="158" t="n">
        <f aca="false">J128</f>
        <v>10236.8645558844</v>
      </c>
      <c r="K21" s="158" t="n">
        <f aca="false">K128</f>
        <v>10241.9075758267</v>
      </c>
      <c r="L21" s="158" t="n">
        <f aca="false">L128</f>
        <v>10246.9505957689</v>
      </c>
      <c r="M21" s="158" t="n">
        <f aca="false">M128</f>
        <v>10251.9936157111</v>
      </c>
      <c r="N21" s="158" t="n">
        <f aca="false">N128</f>
        <v>10257.0366356533</v>
      </c>
      <c r="O21" s="158" t="n">
        <f aca="false">O128</f>
        <v>10262.0796555955</v>
      </c>
      <c r="P21" s="158" t="n">
        <f aca="false">P128</f>
        <v>10267.1226755378</v>
      </c>
      <c r="Q21" s="158" t="n">
        <f aca="false">Q128</f>
        <v>10272.16569548</v>
      </c>
      <c r="R21" s="158" t="n">
        <f aca="false">R128</f>
        <v>10277.2087154222</v>
      </c>
      <c r="S21" s="204"/>
    </row>
    <row r="22" customFormat="false" ht="12.75" hidden="false" customHeight="false" outlineLevel="0" collapsed="false">
      <c r="D22" s="469"/>
      <c r="E22" s="469"/>
      <c r="F22" s="469"/>
      <c r="G22" s="333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04"/>
    </row>
    <row r="23" customFormat="false" ht="12.75" hidden="false" customHeight="false" outlineLevel="0" collapsed="false">
      <c r="A23" s="25" t="s">
        <v>200</v>
      </c>
      <c r="B23" s="16"/>
      <c r="C23" s="16"/>
      <c r="D23" s="457" t="n">
        <f aca="false">D15+D19+D20-D21</f>
        <v>21783.455</v>
      </c>
      <c r="E23" s="457" t="n">
        <f aca="false">E15+E19+E20-E21</f>
        <v>21969.921</v>
      </c>
      <c r="F23" s="457" t="n">
        <f aca="false">F15+F19+F20-F21</f>
        <v>14011.18</v>
      </c>
      <c r="G23" s="457" t="n">
        <f aca="false">G15+G19+G20-G21</f>
        <v>15736.958</v>
      </c>
      <c r="H23" s="176" t="n">
        <f aca="false">H15+H19+H20-H21</f>
        <v>14251.9360796992</v>
      </c>
      <c r="I23" s="176" t="n">
        <f aca="false">I15+I19+I20-I21</f>
        <v>14246.893059757</v>
      </c>
      <c r="J23" s="176" t="n">
        <f aca="false">J15+J19+J20-J21</f>
        <v>14241.8500398148</v>
      </c>
      <c r="K23" s="176" t="n">
        <f aca="false">K15+K19+K20-K21</f>
        <v>14236.8070198725</v>
      </c>
      <c r="L23" s="176" t="n">
        <f aca="false">L15+L19+L20-L21</f>
        <v>14231.7639999303</v>
      </c>
      <c r="M23" s="176" t="n">
        <f aca="false">M15+M19+M20-M21</f>
        <v>14226.7209799881</v>
      </c>
      <c r="N23" s="176" t="n">
        <f aca="false">N15+N19+N20-N21</f>
        <v>14221.6779600459</v>
      </c>
      <c r="O23" s="176" t="n">
        <f aca="false">O15+O19+O20-O21</f>
        <v>14216.6349401037</v>
      </c>
      <c r="P23" s="176" t="n">
        <f aca="false">P15+P19+P20-P21</f>
        <v>14211.5919201615</v>
      </c>
      <c r="Q23" s="176" t="n">
        <f aca="false">Q15+Q19+Q20-Q21</f>
        <v>14206.5489002192</v>
      </c>
      <c r="R23" s="176" t="n">
        <f aca="false">R15+R19+R20-R21</f>
        <v>14201.505880277</v>
      </c>
      <c r="S23" s="204"/>
    </row>
    <row r="24" customFormat="false" ht="12.75" hidden="false" customHeight="false" outlineLevel="0" collapsed="false">
      <c r="D24" s="470"/>
      <c r="E24" s="470"/>
      <c r="F24" s="470"/>
      <c r="G24" s="310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204"/>
    </row>
    <row r="25" customFormat="false" ht="12.75" hidden="false" customHeight="false" outlineLevel="0" collapsed="false">
      <c r="A25" s="243" t="s">
        <v>224</v>
      </c>
      <c r="D25" s="470"/>
      <c r="E25" s="470"/>
      <c r="F25" s="470"/>
      <c r="G25" s="310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204"/>
    </row>
    <row r="26" customFormat="false" ht="12.75" hidden="false" customHeight="false" outlineLevel="0" collapsed="false">
      <c r="A26" s="471" t="s">
        <v>173</v>
      </c>
      <c r="D26" s="467" t="n">
        <f aca="false">$B$28*(D15+D19+D20-D134)</f>
        <v>4568.007675</v>
      </c>
      <c r="E26" s="467" t="n">
        <f aca="false">$B$28*(E15+E19+E20-E134)</f>
        <v>1925.14476</v>
      </c>
      <c r="F26" s="467" t="n">
        <f aca="false">$B$28*(F15+F19+F20-F134)</f>
        <v>-1140.1313</v>
      </c>
      <c r="G26" s="467" t="n">
        <f aca="false">$B$28*(G15+G19+G20-G134)</f>
        <v>2143.54833</v>
      </c>
      <c r="H26" s="472" t="n">
        <f aca="false">$B$28*(H15+H19+H20-H134)</f>
        <v>3955.81938509419</v>
      </c>
      <c r="I26" s="472" t="n">
        <f aca="false">$B$28*(I15+I19+I20-I134)</f>
        <v>3950.28320276398</v>
      </c>
      <c r="J26" s="472" t="n">
        <f aca="false">$B$28*(J15+J19+J20-J134)</f>
        <v>3945.75909883657</v>
      </c>
      <c r="K26" s="472" t="n">
        <f aca="false">$B$28*(K15+K19+K20-K134)</f>
        <v>5034.75038207691</v>
      </c>
      <c r="L26" s="472" t="n">
        <f aca="false">$B$28*(L15+L19+L20-L134)</f>
        <v>5031.08347678838</v>
      </c>
      <c r="M26" s="472" t="n">
        <f aca="false">$B$28*(M15+M19+M20-M134)</f>
        <v>5027.7876791337</v>
      </c>
      <c r="N26" s="472" t="n">
        <f aca="false">$B$28*(N15+N19+N20-N134)</f>
        <v>5024.63593200525</v>
      </c>
      <c r="O26" s="472" t="n">
        <f aca="false">$B$28*(O15+O19+O20-O134)</f>
        <v>5021.4539265056</v>
      </c>
      <c r="P26" s="472" t="n">
        <f aca="false">$B$28*(P15+P19+P20-P134)</f>
        <v>6111.33174270595</v>
      </c>
      <c r="Q26" s="472" t="n">
        <f aca="false">$B$28*(Q15+Q19+Q20-Q134)</f>
        <v>6108.15065412663</v>
      </c>
      <c r="R26" s="472" t="n">
        <f aca="false">$B$28*(R15+R19+R20-R134)</f>
        <v>6104.96233847698</v>
      </c>
      <c r="S26" s="204"/>
    </row>
    <row r="27" customFormat="false" ht="12.75" hidden="false" customHeight="false" outlineLevel="0" collapsed="false">
      <c r="A27" s="471" t="s">
        <v>125</v>
      </c>
      <c r="D27" s="473" t="n">
        <f aca="false">D28-D26</f>
        <v>3818.6225</v>
      </c>
      <c r="E27" s="473" t="n">
        <f aca="false">E28-E26</f>
        <v>6533.274825</v>
      </c>
      <c r="F27" s="473" t="n">
        <f aca="false">F28-F26</f>
        <v>6534.4356</v>
      </c>
      <c r="G27" s="473" t="n">
        <f aca="false">G28-G26</f>
        <v>3915.1805</v>
      </c>
      <c r="H27" s="474" t="n">
        <f aca="false">H28-H26</f>
        <v>1531.17600559</v>
      </c>
      <c r="I27" s="474" t="n">
        <f aca="false">I28-I26</f>
        <v>1534.77062524246</v>
      </c>
      <c r="J27" s="474" t="n">
        <f aca="false">J28-J26</f>
        <v>1537.35316649211</v>
      </c>
      <c r="K27" s="474" t="n">
        <f aca="false">K28-K26</f>
        <v>446.420320574026</v>
      </c>
      <c r="L27" s="474" t="n">
        <f aca="false">L28-L26</f>
        <v>448.145663184802</v>
      </c>
      <c r="M27" s="474" t="n">
        <f aca="false">M28-M26</f>
        <v>449.499898161724</v>
      </c>
      <c r="N27" s="474" t="n">
        <f aca="false">N28-N26</f>
        <v>450.710082612416</v>
      </c>
      <c r="O27" s="474" t="n">
        <f aca="false">O28-O26</f>
        <v>451.950525434316</v>
      </c>
      <c r="P27" s="474" t="n">
        <f aca="false">P28-P26</f>
        <v>-639.868853443785</v>
      </c>
      <c r="Q27" s="474" t="n">
        <f aca="false">Q28-Q26</f>
        <v>-638.629327542226</v>
      </c>
      <c r="R27" s="474" t="n">
        <f aca="false">R28-R26</f>
        <v>-637.382574570328</v>
      </c>
      <c r="S27" s="204"/>
    </row>
    <row r="28" customFormat="false" ht="12.75" hidden="false" customHeight="false" outlineLevel="0" collapsed="false">
      <c r="A28" s="475" t="s">
        <v>174</v>
      </c>
      <c r="B28" s="476" t="n">
        <f aca="false">Assumptions!D10</f>
        <v>0.385</v>
      </c>
      <c r="D28" s="457" t="n">
        <f aca="false">D23*$B$28</f>
        <v>8386.630175</v>
      </c>
      <c r="E28" s="457" t="n">
        <f aca="false">E23*$B$28</f>
        <v>8458.419585</v>
      </c>
      <c r="F28" s="457" t="n">
        <f aca="false">F23*$B$28</f>
        <v>5394.3043</v>
      </c>
      <c r="G28" s="457" t="n">
        <f aca="false">G23*$B$28</f>
        <v>6058.72883</v>
      </c>
      <c r="H28" s="176" t="n">
        <f aca="false">H23*$B$28</f>
        <v>5486.9953906842</v>
      </c>
      <c r="I28" s="176" t="n">
        <f aca="false">I23*$B$28</f>
        <v>5485.05382800644</v>
      </c>
      <c r="J28" s="176" t="n">
        <f aca="false">J23*$B$28</f>
        <v>5483.11226532869</v>
      </c>
      <c r="K28" s="176" t="n">
        <f aca="false">K23*$B$28</f>
        <v>5481.17070265093</v>
      </c>
      <c r="L28" s="176" t="n">
        <f aca="false">L23*$B$28</f>
        <v>5479.22913997318</v>
      </c>
      <c r="M28" s="176" t="n">
        <f aca="false">M23*$B$28</f>
        <v>5477.28757729542</v>
      </c>
      <c r="N28" s="176" t="n">
        <f aca="false">N23*$B$28</f>
        <v>5475.34601461767</v>
      </c>
      <c r="O28" s="176" t="n">
        <f aca="false">O23*$B$28</f>
        <v>5473.40445193991</v>
      </c>
      <c r="P28" s="176" t="n">
        <f aca="false">P23*$B$28</f>
        <v>5471.46288926216</v>
      </c>
      <c r="Q28" s="176" t="n">
        <f aca="false">Q23*$B$28</f>
        <v>5469.52132658441</v>
      </c>
      <c r="R28" s="176" t="n">
        <f aca="false">R23*$B$28</f>
        <v>5467.57976390665</v>
      </c>
      <c r="S28" s="204"/>
    </row>
    <row r="29" customFormat="false" ht="12.75" hidden="false" customHeight="false" outlineLevel="0" collapsed="false">
      <c r="A29" s="187"/>
      <c r="B29" s="146"/>
      <c r="D29" s="469"/>
      <c r="E29" s="469"/>
      <c r="F29" s="469"/>
      <c r="G29" s="333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04"/>
    </row>
    <row r="30" customFormat="false" ht="12.75" hidden="false" customHeight="false" outlineLevel="0" collapsed="false">
      <c r="A30" s="348" t="s">
        <v>204</v>
      </c>
      <c r="B30" s="96"/>
      <c r="C30" s="16"/>
      <c r="D30" s="457" t="n">
        <f aca="false">D23-D28</f>
        <v>13396.824825</v>
      </c>
      <c r="E30" s="457" t="n">
        <f aca="false">E23-E28</f>
        <v>13511.501415</v>
      </c>
      <c r="F30" s="457" t="n">
        <f aca="false">F23-F28</f>
        <v>8616.8757</v>
      </c>
      <c r="G30" s="457" t="n">
        <f aca="false">G23-G28</f>
        <v>9678.22917</v>
      </c>
      <c r="H30" s="176" t="n">
        <f aca="false">H23-H28</f>
        <v>8764.94068901501</v>
      </c>
      <c r="I30" s="176" t="n">
        <f aca="false">I23-I28</f>
        <v>8761.83923175055</v>
      </c>
      <c r="J30" s="176" t="n">
        <f aca="false">J23-J28</f>
        <v>8758.73777448608</v>
      </c>
      <c r="K30" s="176" t="n">
        <f aca="false">K23-K28</f>
        <v>8755.63631722162</v>
      </c>
      <c r="L30" s="176" t="n">
        <f aca="false">L23-L28</f>
        <v>8752.53485995715</v>
      </c>
      <c r="M30" s="176" t="n">
        <f aca="false">M23-M28</f>
        <v>8749.43340269269</v>
      </c>
      <c r="N30" s="176" t="n">
        <f aca="false">N23-N28</f>
        <v>8746.33194542822</v>
      </c>
      <c r="O30" s="176" t="n">
        <f aca="false">O23-O28</f>
        <v>8743.23048816376</v>
      </c>
      <c r="P30" s="176" t="n">
        <f aca="false">P23-P28</f>
        <v>8740.12903089929</v>
      </c>
      <c r="Q30" s="176" t="n">
        <f aca="false">Q23-Q28</f>
        <v>8737.02757363483</v>
      </c>
      <c r="R30" s="176" t="n">
        <f aca="false">R23-R28</f>
        <v>8733.92611637036</v>
      </c>
      <c r="S30" s="477" t="s">
        <v>197</v>
      </c>
    </row>
    <row r="31" customFormat="false" ht="12.75" hidden="false" customHeight="false" outlineLevel="0" collapsed="false">
      <c r="A31" s="187"/>
      <c r="B31" s="146"/>
      <c r="D31" s="470"/>
      <c r="E31" s="470"/>
      <c r="F31" s="470"/>
      <c r="G31" s="310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477" t="s">
        <v>225</v>
      </c>
    </row>
    <row r="32" customFormat="false" ht="12.75" hidden="false" customHeight="false" outlineLevel="0" collapsed="false">
      <c r="A32" s="348" t="s">
        <v>226</v>
      </c>
      <c r="B32" s="146"/>
      <c r="D32" s="478" t="n">
        <f aca="false">D30+D27+D21</f>
        <v>27133.947325</v>
      </c>
      <c r="E32" s="478" t="n">
        <f aca="false">E30+E27+E21</f>
        <v>37014.32124</v>
      </c>
      <c r="F32" s="478" t="n">
        <f aca="false">F30+F27+F21</f>
        <v>32123.8713</v>
      </c>
      <c r="G32" s="478" t="n">
        <f aca="false">G30+G27+G21</f>
        <v>23762.70967</v>
      </c>
      <c r="H32" s="184" t="n">
        <f aca="false">H30+H27+H21</f>
        <v>20522.895210605</v>
      </c>
      <c r="I32" s="184" t="n">
        <f aca="false">I30+I27+I21</f>
        <v>20528.4313929352</v>
      </c>
      <c r="J32" s="184" t="n">
        <f aca="false">J30+J27+J21</f>
        <v>20532.9554968626</v>
      </c>
      <c r="K32" s="184" t="n">
        <f aca="false">K30+K27+K21</f>
        <v>19443.9642136223</v>
      </c>
      <c r="L32" s="184" t="n">
        <f aca="false">L30+L27+L21</f>
        <v>19447.6311189108</v>
      </c>
      <c r="M32" s="184" t="n">
        <f aca="false">M30+M27+M21</f>
        <v>19450.9269165655</v>
      </c>
      <c r="N32" s="184" t="n">
        <f aca="false">N30+N27+N21</f>
        <v>19454.078663694</v>
      </c>
      <c r="O32" s="184" t="n">
        <f aca="false">O30+O27+O21</f>
        <v>19457.2606691936</v>
      </c>
      <c r="P32" s="184" t="n">
        <f aca="false">P30+P27+P21</f>
        <v>18367.3828529933</v>
      </c>
      <c r="Q32" s="184" t="n">
        <f aca="false">Q30+Q27+Q21</f>
        <v>18370.5639415726</v>
      </c>
      <c r="R32" s="184" t="n">
        <f aca="false">R30+R27+R21</f>
        <v>18373.7522572222</v>
      </c>
      <c r="S32" s="477" t="s">
        <v>227</v>
      </c>
    </row>
    <row r="33" customFormat="false" ht="12.75" hidden="false" customHeight="false" outlineLevel="0" collapsed="false">
      <c r="A33" s="348" t="s">
        <v>209</v>
      </c>
      <c r="B33" s="479"/>
      <c r="D33" s="310" t="n">
        <f aca="false">D107</f>
        <v>10111.6</v>
      </c>
      <c r="E33" s="310" t="n">
        <f aca="false">E107</f>
        <v>103.386</v>
      </c>
      <c r="F33" s="310" t="n">
        <f aca="false">F107</f>
        <v>154</v>
      </c>
      <c r="G33" s="310" t="n">
        <f aca="false">G107</f>
        <v>163.9</v>
      </c>
      <c r="H33" s="184" t="n">
        <f aca="false">H107</f>
        <v>140.083887283868</v>
      </c>
      <c r="I33" s="184" t="n">
        <f aca="false">I107</f>
        <v>140.083887283868</v>
      </c>
      <c r="J33" s="184" t="n">
        <f aca="false">J107</f>
        <v>140.083887283868</v>
      </c>
      <c r="K33" s="184" t="n">
        <f aca="false">K107</f>
        <v>140.083887283868</v>
      </c>
      <c r="L33" s="184" t="n">
        <f aca="false">L107</f>
        <v>140.083887283868</v>
      </c>
      <c r="M33" s="184" t="n">
        <f aca="false">M107</f>
        <v>140.083887283868</v>
      </c>
      <c r="N33" s="184" t="n">
        <f aca="false">N107</f>
        <v>140.083887283868</v>
      </c>
      <c r="O33" s="184" t="n">
        <f aca="false">O107</f>
        <v>140.083887283868</v>
      </c>
      <c r="P33" s="184" t="n">
        <f aca="false">P107</f>
        <v>140.083887283868</v>
      </c>
      <c r="Q33" s="184" t="n">
        <f aca="false">Q107</f>
        <v>140.083887283868</v>
      </c>
      <c r="R33" s="184" t="n">
        <f aca="false">R107</f>
        <v>140.083887283868</v>
      </c>
      <c r="S33" s="480"/>
    </row>
    <row r="34" customFormat="false" ht="12.75" hidden="false" customHeight="false" outlineLevel="0" collapsed="false">
      <c r="A34" s="187"/>
      <c r="B34" s="479"/>
      <c r="D34" s="310"/>
      <c r="E34" s="310"/>
      <c r="F34" s="310"/>
      <c r="G34" s="310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481"/>
    </row>
    <row r="35" customFormat="false" ht="27.75" hidden="false" customHeight="true" outlineLevel="0" collapsed="false">
      <c r="A35" s="482" t="s">
        <v>228</v>
      </c>
      <c r="B35" s="483"/>
      <c r="C35" s="483"/>
      <c r="D35" s="484" t="n">
        <f aca="false">D32-D33</f>
        <v>17022.347325</v>
      </c>
      <c r="E35" s="484" t="n">
        <f aca="false">E32-E33</f>
        <v>36910.93524</v>
      </c>
      <c r="F35" s="484" t="n">
        <f aca="false">F32-F33</f>
        <v>31969.8713</v>
      </c>
      <c r="G35" s="484" t="n">
        <f aca="false">G32-G33</f>
        <v>23598.80967</v>
      </c>
      <c r="H35" s="485" t="n">
        <f aca="false">H32-H33</f>
        <v>20382.8113233211</v>
      </c>
      <c r="I35" s="485" t="n">
        <f aca="false">I32-I33</f>
        <v>20388.3475056514</v>
      </c>
      <c r="J35" s="485" t="n">
        <f aca="false">J32-J33</f>
        <v>20392.8716095788</v>
      </c>
      <c r="K35" s="485" t="n">
        <f aca="false">K32-K33</f>
        <v>19303.8803263384</v>
      </c>
      <c r="L35" s="485" t="n">
        <f aca="false">L32-L33</f>
        <v>19307.547231627</v>
      </c>
      <c r="M35" s="485" t="n">
        <f aca="false">M32-M33</f>
        <v>19310.8430292816</v>
      </c>
      <c r="N35" s="485" t="n">
        <f aca="false">N32-N33</f>
        <v>19313.9947764101</v>
      </c>
      <c r="O35" s="485" t="n">
        <f aca="false">O32-O33</f>
        <v>19317.1767819097</v>
      </c>
      <c r="P35" s="485" t="n">
        <f aca="false">P32-P33</f>
        <v>18227.2989657094</v>
      </c>
      <c r="Q35" s="485" t="n">
        <f aca="false">Q32-Q33</f>
        <v>18230.4800542887</v>
      </c>
      <c r="R35" s="485" t="n">
        <f aca="false">R32-R33+S35</f>
        <v>226891.599731231</v>
      </c>
      <c r="S35" s="486" t="n">
        <f aca="false">R15*S37</f>
        <v>208657.931361293</v>
      </c>
    </row>
    <row r="36" customFormat="false" ht="13.5" hidden="false" customHeight="false" outlineLevel="0" collapsed="false">
      <c r="A36" s="341"/>
      <c r="B36" s="16"/>
      <c r="C36" s="16"/>
      <c r="D36" s="1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487"/>
    </row>
    <row r="37" customFormat="false" ht="12.75" hidden="false" customHeight="false" outlineLevel="0" collapsed="false">
      <c r="A37" s="341"/>
      <c r="B37" s="16"/>
      <c r="C37" s="16"/>
      <c r="D37" s="1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488" t="n">
        <f aca="false">Scenarios!C5</f>
        <v>9</v>
      </c>
    </row>
    <row r="38" customFormat="false" ht="12.75" hidden="false" customHeight="false" outlineLevel="0" collapsed="false">
      <c r="A38" s="341"/>
      <c r="B38" s="16"/>
      <c r="C38" s="16"/>
      <c r="D38" s="1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489" t="s">
        <v>229</v>
      </c>
    </row>
    <row r="39" customFormat="false" ht="13.5" hidden="false" customHeight="false" outlineLevel="0" collapsed="false">
      <c r="M39" s="77"/>
    </row>
    <row r="40" customFormat="false" ht="15" hidden="false" customHeight="false" outlineLevel="0" collapsed="false">
      <c r="G40" s="0"/>
      <c r="H40" s="490" t="s">
        <v>181</v>
      </c>
      <c r="I40" s="491" t="str">
        <f aca="false">(Assumptions!D8-1&amp;" EBITDA")</f>
        <v>2001 EBITDA</v>
      </c>
      <c r="J40" s="491" t="s">
        <v>230</v>
      </c>
      <c r="K40" s="492"/>
      <c r="L40" s="493" t="s">
        <v>182</v>
      </c>
      <c r="M40" s="493"/>
      <c r="N40" s="493"/>
      <c r="Q40" s="187"/>
      <c r="R40" s="187"/>
    </row>
    <row r="41" customFormat="false" ht="15" hidden="false" customHeight="false" outlineLevel="0" collapsed="false">
      <c r="G41" s="0"/>
      <c r="H41" s="494" t="s">
        <v>183</v>
      </c>
      <c r="I41" s="495" t="s">
        <v>136</v>
      </c>
      <c r="J41" s="495" t="s">
        <v>231</v>
      </c>
      <c r="K41" s="496"/>
      <c r="L41" s="497" t="n">
        <f aca="false">Asset3Drate-0.025</f>
        <v>0.05</v>
      </c>
      <c r="M41" s="498" t="n">
        <f aca="false">Scenarios!C6</f>
        <v>0.075</v>
      </c>
      <c r="N41" s="499" t="n">
        <f aca="false">Asset3Drate+0.025</f>
        <v>0.1</v>
      </c>
      <c r="Q41" s="187"/>
      <c r="R41" s="187"/>
    </row>
    <row r="42" customFormat="false" ht="12.75" hidden="false" customHeight="false" outlineLevel="0" collapsed="false">
      <c r="G42" s="308" t="s">
        <v>184</v>
      </c>
      <c r="H42" s="369"/>
      <c r="I42" s="500"/>
      <c r="J42" s="500"/>
      <c r="K42" s="370"/>
      <c r="L42" s="370"/>
      <c r="M42" s="370"/>
      <c r="N42" s="372"/>
      <c r="Q42" s="187"/>
      <c r="R42" s="187"/>
    </row>
    <row r="43" customFormat="false" ht="13.5" hidden="false" customHeight="false" outlineLevel="0" collapsed="false">
      <c r="G43" s="0" t="n">
        <f aca="false">IF(ABS(H43-M43)&lt;0.05,0,1)</f>
        <v>0</v>
      </c>
      <c r="H43" s="501" t="n">
        <v>234033.499294574</v>
      </c>
      <c r="I43" s="502" t="n">
        <f aca="false">H43/H15</f>
        <v>10.0945191966084</v>
      </c>
      <c r="J43" s="503"/>
      <c r="K43" s="504"/>
      <c r="L43" s="505" t="n">
        <f aca="false">NPV(L41,$I$35:$R$35)</f>
        <v>277125.745586168</v>
      </c>
      <c r="M43" s="505" t="n">
        <f aca="false">NPV(M41,$I$35:$R$35)</f>
        <v>234033.499294574</v>
      </c>
      <c r="N43" s="506" t="n">
        <f aca="false">NPV(N41,$I$35:$R$35)</f>
        <v>199595.813015014</v>
      </c>
      <c r="Q43" s="187"/>
      <c r="R43" s="187"/>
      <c r="S43" s="187"/>
    </row>
    <row r="44" customFormat="false" ht="12.75" hidden="false" customHeight="false" outlineLevel="0" collapsed="false">
      <c r="G44" s="0"/>
      <c r="H44" s="187"/>
      <c r="I44" s="507"/>
      <c r="J44" s="507"/>
      <c r="K44" s="187"/>
      <c r="L44" s="187"/>
      <c r="M44" s="508"/>
      <c r="N44" s="187"/>
      <c r="Q44" s="187"/>
      <c r="R44" s="187"/>
      <c r="S44" s="187"/>
    </row>
    <row r="45" customFormat="false" ht="12.75" hidden="false" customHeight="false" outlineLevel="0" collapsed="false">
      <c r="G45" s="187"/>
      <c r="H45" s="187"/>
      <c r="I45" s="187"/>
      <c r="J45" s="187"/>
      <c r="K45" s="187"/>
      <c r="L45" s="187"/>
      <c r="M45" s="187"/>
      <c r="O45" s="187"/>
      <c r="P45" s="187"/>
      <c r="Q45" s="187"/>
      <c r="R45" s="187"/>
    </row>
    <row r="46" customFormat="false" ht="12.75" hidden="false" customHeight="false" outlineLevel="0" collapsed="false">
      <c r="E46" s="187"/>
      <c r="F46" s="187"/>
      <c r="G46" s="187"/>
      <c r="H46" s="187"/>
      <c r="I46" s="187"/>
      <c r="J46" s="204"/>
      <c r="K46" s="204"/>
      <c r="L46" s="204"/>
      <c r="M46" s="204"/>
      <c r="N46" s="204"/>
      <c r="O46" s="204"/>
      <c r="P46" s="204"/>
      <c r="Q46" s="204"/>
      <c r="R46" s="204"/>
    </row>
    <row r="47" customFormat="false" ht="15.75" hidden="false" customHeight="false" outlineLevel="0" collapsed="false">
      <c r="A47" s="284" t="s">
        <v>232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204"/>
    </row>
    <row r="48" customFormat="false" ht="12.75" hidden="false" customHeight="false" outlineLevel="0" collapsed="false">
      <c r="E48" s="292"/>
      <c r="F48" s="292"/>
      <c r="G48" s="293"/>
      <c r="H48" s="294" t="s">
        <v>156</v>
      </c>
      <c r="I48" s="295"/>
      <c r="J48" s="293"/>
      <c r="K48" s="293"/>
      <c r="L48" s="296"/>
      <c r="M48" s="293"/>
      <c r="N48" s="296"/>
      <c r="O48" s="296"/>
      <c r="P48" s="296"/>
      <c r="Q48" s="296"/>
      <c r="R48" s="75"/>
      <c r="S48" s="204"/>
    </row>
    <row r="49" customFormat="false" ht="12.75" hidden="false" customHeight="false" outlineLevel="0" collapsed="false">
      <c r="D49" s="452" t="n">
        <v>1997</v>
      </c>
      <c r="E49" s="297" t="n">
        <v>1998</v>
      </c>
      <c r="F49" s="297" t="n">
        <v>1999</v>
      </c>
      <c r="G49" s="297" t="n">
        <v>2000</v>
      </c>
      <c r="H49" s="297" t="n">
        <v>2001</v>
      </c>
      <c r="I49" s="298" t="n">
        <v>2002</v>
      </c>
      <c r="J49" s="298" t="n">
        <v>2003</v>
      </c>
      <c r="K49" s="298" t="n">
        <v>2004</v>
      </c>
      <c r="L49" s="298" t="n">
        <v>2005</v>
      </c>
      <c r="M49" s="298" t="n">
        <v>2006</v>
      </c>
      <c r="N49" s="299" t="n">
        <v>2007</v>
      </c>
      <c r="O49" s="299" t="n">
        <v>2008</v>
      </c>
      <c r="P49" s="299" t="n">
        <v>2009</v>
      </c>
      <c r="Q49" s="299" t="n">
        <v>2010</v>
      </c>
      <c r="R49" s="414" t="n">
        <v>2011</v>
      </c>
      <c r="S49" s="204"/>
    </row>
    <row r="50" customFormat="false" ht="12.75" hidden="false" customHeight="false" outlineLevel="0" collapsed="false">
      <c r="B50" s="304" t="s">
        <v>159</v>
      </c>
      <c r="C50" s="509"/>
      <c r="D50" s="509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204"/>
    </row>
    <row r="51" customFormat="false" ht="12.75" hidden="false" customHeight="false" outlineLevel="0" collapsed="false">
      <c r="A51" s="386" t="s">
        <v>233</v>
      </c>
      <c r="B51" s="510" t="n">
        <v>0</v>
      </c>
      <c r="C51" s="509"/>
      <c r="D51" s="511"/>
      <c r="E51" s="511" t="n">
        <f aca="false">$B$51*2606</f>
        <v>0</v>
      </c>
      <c r="F51" s="511" t="n">
        <f aca="false">$B$51*2667</f>
        <v>0</v>
      </c>
      <c r="G51" s="511" t="n">
        <f aca="false">$B$51*2676</f>
        <v>0</v>
      </c>
      <c r="H51" s="157" t="n">
        <f aca="false">$B$51*2*1289</f>
        <v>0</v>
      </c>
      <c r="I51" s="184" t="n">
        <f aca="false">H51*I62</f>
        <v>0</v>
      </c>
      <c r="J51" s="184" t="n">
        <f aca="false">I51*J62</f>
        <v>0</v>
      </c>
      <c r="K51" s="184" t="n">
        <f aca="false">J51*K62</f>
        <v>0</v>
      </c>
      <c r="L51" s="184" t="n">
        <f aca="false">K51*L62</f>
        <v>0</v>
      </c>
      <c r="M51" s="184" t="n">
        <f aca="false">L51*M62</f>
        <v>0</v>
      </c>
      <c r="N51" s="184" t="n">
        <f aca="false">M51*N62</f>
        <v>0</v>
      </c>
      <c r="O51" s="184" t="n">
        <f aca="false">N51*O62</f>
        <v>0</v>
      </c>
      <c r="P51" s="184" t="n">
        <f aca="false">O51*P62</f>
        <v>0</v>
      </c>
      <c r="Q51" s="184" t="n">
        <f aca="false">P51*Q62</f>
        <v>0</v>
      </c>
      <c r="R51" s="184" t="n">
        <f aca="false">Q51*R62</f>
        <v>0</v>
      </c>
      <c r="S51" s="204"/>
    </row>
    <row r="52" customFormat="false" ht="12.75" hidden="false" customHeight="false" outlineLevel="0" collapsed="false">
      <c r="A52" s="512" t="s">
        <v>234</v>
      </c>
      <c r="B52" s="510" t="n">
        <v>0</v>
      </c>
      <c r="C52" s="509"/>
      <c r="D52" s="511"/>
      <c r="E52" s="511" t="n">
        <f aca="false">$B$52*1051</f>
        <v>0</v>
      </c>
      <c r="F52" s="511" t="n">
        <f aca="false">$B$52*1156</f>
        <v>0</v>
      </c>
      <c r="G52" s="511" t="n">
        <f aca="false">$B$52*1196</f>
        <v>0</v>
      </c>
      <c r="H52" s="157" t="n">
        <f aca="false">$B$52*2*779</f>
        <v>0</v>
      </c>
      <c r="I52" s="184" t="n">
        <f aca="false">H52*I63</f>
        <v>0</v>
      </c>
      <c r="J52" s="184" t="n">
        <f aca="false">I52*J63</f>
        <v>0</v>
      </c>
      <c r="K52" s="184" t="n">
        <f aca="false">J52*K63</f>
        <v>0</v>
      </c>
      <c r="L52" s="184" t="n">
        <f aca="false">K52*L63</f>
        <v>0</v>
      </c>
      <c r="M52" s="184" t="n">
        <f aca="false">L52*M63</f>
        <v>0</v>
      </c>
      <c r="N52" s="184" t="n">
        <f aca="false">M52*N63</f>
        <v>0</v>
      </c>
      <c r="O52" s="184" t="n">
        <f aca="false">N52*O63</f>
        <v>0</v>
      </c>
      <c r="P52" s="184" t="n">
        <f aca="false">O52*P63</f>
        <v>0</v>
      </c>
      <c r="Q52" s="184" t="n">
        <f aca="false">P52*Q63</f>
        <v>0</v>
      </c>
      <c r="R52" s="184" t="n">
        <f aca="false">Q52*R63</f>
        <v>0</v>
      </c>
      <c r="S52" s="204"/>
    </row>
    <row r="53" customFormat="false" ht="12.75" hidden="false" customHeight="false" outlineLevel="0" collapsed="false">
      <c r="A53" s="512" t="s">
        <v>235</v>
      </c>
      <c r="B53" s="510" t="n">
        <v>1</v>
      </c>
      <c r="C53" s="509"/>
      <c r="D53" s="511" t="n">
        <v>35137.755</v>
      </c>
      <c r="E53" s="511" t="n">
        <v>42737.522</v>
      </c>
      <c r="F53" s="511" t="n">
        <v>33711.148</v>
      </c>
      <c r="G53" s="511" t="n">
        <v>29084.758</v>
      </c>
      <c r="H53" s="184" t="n">
        <f aca="false">G53*H64</f>
        <v>27803.5145956992</v>
      </c>
      <c r="I53" s="184" t="n">
        <f aca="false">H53*I64</f>
        <v>27803.5145956992</v>
      </c>
      <c r="J53" s="184" t="n">
        <f aca="false">I53*J64</f>
        <v>27803.5145956992</v>
      </c>
      <c r="K53" s="184" t="n">
        <f aca="false">J53*K64</f>
        <v>27803.5145956992</v>
      </c>
      <c r="L53" s="184" t="n">
        <f aca="false">K53*L64</f>
        <v>27803.5145956992</v>
      </c>
      <c r="M53" s="184" t="n">
        <f aca="false">L53*M64</f>
        <v>27803.5145956992</v>
      </c>
      <c r="N53" s="184" t="n">
        <f aca="false">M53*N64</f>
        <v>27803.5145956992</v>
      </c>
      <c r="O53" s="184" t="n">
        <f aca="false">N53*O64</f>
        <v>27803.5145956992</v>
      </c>
      <c r="P53" s="184" t="n">
        <f aca="false">O53*P64</f>
        <v>27803.5145956992</v>
      </c>
      <c r="Q53" s="184" t="n">
        <f aca="false">P53*Q64</f>
        <v>27803.5145956992</v>
      </c>
      <c r="R53" s="184" t="n">
        <f aca="false">Q53*R64</f>
        <v>27803.5145956992</v>
      </c>
      <c r="S53" s="204"/>
    </row>
    <row r="54" customFormat="false" ht="12.75" hidden="false" customHeight="false" outlineLevel="0" collapsed="false">
      <c r="A54" s="386" t="s">
        <v>236</v>
      </c>
      <c r="B54" s="510" t="n">
        <v>0</v>
      </c>
      <c r="C54" s="509"/>
      <c r="D54" s="511"/>
      <c r="E54" s="511" t="n">
        <f aca="false">$B$54*277</f>
        <v>0</v>
      </c>
      <c r="F54" s="511" t="n">
        <f aca="false">$B$54*390</f>
        <v>0</v>
      </c>
      <c r="G54" s="511" t="n">
        <f aca="false">$B$54*500</f>
        <v>0</v>
      </c>
      <c r="H54" s="157" t="n">
        <f aca="false">$B$54*2*216</f>
        <v>0</v>
      </c>
      <c r="I54" s="184" t="n">
        <f aca="false">H54*I65</f>
        <v>0</v>
      </c>
      <c r="J54" s="184" t="n">
        <f aca="false">I54*J65</f>
        <v>0</v>
      </c>
      <c r="K54" s="184" t="n">
        <f aca="false">J54*K65</f>
        <v>0</v>
      </c>
      <c r="L54" s="184" t="n">
        <f aca="false">K54*L65</f>
        <v>0</v>
      </c>
      <c r="M54" s="184" t="n">
        <f aca="false">L54*M65</f>
        <v>0</v>
      </c>
      <c r="N54" s="184" t="n">
        <f aca="false">M54*N65</f>
        <v>0</v>
      </c>
      <c r="O54" s="184" t="n">
        <f aca="false">N54*O65</f>
        <v>0</v>
      </c>
      <c r="P54" s="184" t="n">
        <f aca="false">O54*P65</f>
        <v>0</v>
      </c>
      <c r="Q54" s="184" t="n">
        <f aca="false">P54*Q65</f>
        <v>0</v>
      </c>
      <c r="R54" s="184" t="n">
        <f aca="false">Q54*R65</f>
        <v>0</v>
      </c>
      <c r="S54" s="204"/>
    </row>
    <row r="55" customFormat="false" ht="12.75" hidden="false" customHeight="false" outlineLevel="0" collapsed="false">
      <c r="A55" s="386" t="s">
        <v>237</v>
      </c>
      <c r="B55" s="510" t="n">
        <v>0</v>
      </c>
      <c r="C55" s="509"/>
      <c r="D55" s="511"/>
      <c r="E55" s="511" t="n">
        <f aca="false">$B$55*63</f>
        <v>0</v>
      </c>
      <c r="F55" s="511" t="n">
        <f aca="false">$B$55*98</f>
        <v>0</v>
      </c>
      <c r="G55" s="511" t="n">
        <f aca="false">$B$55*131</f>
        <v>0</v>
      </c>
      <c r="H55" s="157" t="n">
        <f aca="false">$B$55*2*96</f>
        <v>0</v>
      </c>
      <c r="I55" s="184" t="n">
        <f aca="false">H55*I66</f>
        <v>0</v>
      </c>
      <c r="J55" s="184" t="n">
        <f aca="false">I55*J66</f>
        <v>0</v>
      </c>
      <c r="K55" s="184" t="n">
        <f aca="false">J55*K66</f>
        <v>0</v>
      </c>
      <c r="L55" s="184" t="n">
        <f aca="false">K55*L66</f>
        <v>0</v>
      </c>
      <c r="M55" s="184" t="n">
        <f aca="false">L55*M66</f>
        <v>0</v>
      </c>
      <c r="N55" s="184" t="n">
        <f aca="false">M55*N66</f>
        <v>0</v>
      </c>
      <c r="O55" s="184" t="n">
        <f aca="false">N55*O66</f>
        <v>0</v>
      </c>
      <c r="P55" s="184" t="n">
        <f aca="false">O55*P66</f>
        <v>0</v>
      </c>
      <c r="Q55" s="184" t="n">
        <f aca="false">P55*Q66</f>
        <v>0</v>
      </c>
      <c r="R55" s="184" t="n">
        <f aca="false">Q55*R66</f>
        <v>0</v>
      </c>
      <c r="S55" s="204"/>
    </row>
    <row r="56" customFormat="false" ht="12.75" hidden="false" customHeight="false" outlineLevel="0" collapsed="false">
      <c r="A56" s="512" t="s">
        <v>238</v>
      </c>
      <c r="B56" s="510" t="n">
        <v>1</v>
      </c>
      <c r="C56" s="509"/>
      <c r="D56" s="511"/>
      <c r="E56" s="511"/>
      <c r="F56" s="511"/>
      <c r="G56" s="511"/>
      <c r="H56" s="184" t="n">
        <f aca="false">G56*H67</f>
        <v>0</v>
      </c>
      <c r="I56" s="184" t="n">
        <f aca="false">H56*I67</f>
        <v>0</v>
      </c>
      <c r="J56" s="184" t="n">
        <f aca="false">I56*J67</f>
        <v>0</v>
      </c>
      <c r="K56" s="184" t="n">
        <f aca="false">J56*K67</f>
        <v>0</v>
      </c>
      <c r="L56" s="184" t="n">
        <f aca="false">K56*L67</f>
        <v>0</v>
      </c>
      <c r="M56" s="184" t="n">
        <f aca="false">L56*M67</f>
        <v>0</v>
      </c>
      <c r="N56" s="184" t="n">
        <f aca="false">M56*N67</f>
        <v>0</v>
      </c>
      <c r="O56" s="184" t="n">
        <f aca="false">N56*O67</f>
        <v>0</v>
      </c>
      <c r="P56" s="184" t="n">
        <f aca="false">O56*P67</f>
        <v>0</v>
      </c>
      <c r="Q56" s="184" t="n">
        <f aca="false">P56*Q67</f>
        <v>0</v>
      </c>
      <c r="R56" s="184" t="n">
        <f aca="false">Q56*R67</f>
        <v>0</v>
      </c>
      <c r="S56" s="204"/>
    </row>
    <row r="57" customFormat="false" ht="12.75" hidden="false" customHeight="false" outlineLevel="0" collapsed="false">
      <c r="A57" s="512" t="s">
        <v>239</v>
      </c>
      <c r="B57" s="510" t="n">
        <v>0</v>
      </c>
      <c r="C57" s="509"/>
      <c r="D57" s="511"/>
      <c r="E57" s="511"/>
      <c r="F57" s="511"/>
      <c r="G57" s="511"/>
      <c r="H57" s="157" t="n">
        <f aca="false">$B$57*2*72</f>
        <v>0</v>
      </c>
      <c r="I57" s="184" t="n">
        <f aca="false">H57*I68</f>
        <v>0</v>
      </c>
      <c r="J57" s="184" t="n">
        <f aca="false">I57*J68</f>
        <v>0</v>
      </c>
      <c r="K57" s="184" t="n">
        <f aca="false">J57*K68</f>
        <v>0</v>
      </c>
      <c r="L57" s="184" t="n">
        <f aca="false">K57*L68</f>
        <v>0</v>
      </c>
      <c r="M57" s="184" t="n">
        <f aca="false">L57*M68</f>
        <v>0</v>
      </c>
      <c r="N57" s="184" t="n">
        <f aca="false">M57*N68</f>
        <v>0</v>
      </c>
      <c r="O57" s="184" t="n">
        <f aca="false">N57*O68</f>
        <v>0</v>
      </c>
      <c r="P57" s="184" t="n">
        <f aca="false">O57*P68</f>
        <v>0</v>
      </c>
      <c r="Q57" s="184" t="n">
        <f aca="false">P57*Q68</f>
        <v>0</v>
      </c>
      <c r="R57" s="184" t="n">
        <f aca="false">Q57*R68</f>
        <v>0</v>
      </c>
      <c r="S57" s="204"/>
    </row>
    <row r="58" customFormat="false" ht="12.75" hidden="false" customHeight="false" outlineLevel="0" collapsed="false">
      <c r="A58" s="513" t="s">
        <v>240</v>
      </c>
      <c r="B58" s="103" t="n">
        <v>1</v>
      </c>
      <c r="C58" s="514"/>
      <c r="D58" s="515"/>
      <c r="E58" s="515"/>
      <c r="F58" s="515"/>
      <c r="G58" s="515"/>
      <c r="H58" s="193" t="n">
        <f aca="false">G58*H69</f>
        <v>0</v>
      </c>
      <c r="I58" s="193" t="n">
        <f aca="false">H58*I69</f>
        <v>0</v>
      </c>
      <c r="J58" s="193" t="n">
        <f aca="false">I58*J69</f>
        <v>0</v>
      </c>
      <c r="K58" s="193" t="n">
        <f aca="false">J58*K69</f>
        <v>0</v>
      </c>
      <c r="L58" s="193" t="n">
        <f aca="false">K58*L69</f>
        <v>0</v>
      </c>
      <c r="M58" s="193" t="n">
        <f aca="false">L58*M69</f>
        <v>0</v>
      </c>
      <c r="N58" s="193" t="n">
        <f aca="false">M58*N69</f>
        <v>0</v>
      </c>
      <c r="O58" s="193" t="n">
        <f aca="false">N58*O69</f>
        <v>0</v>
      </c>
      <c r="P58" s="193" t="n">
        <f aca="false">O58*P69</f>
        <v>0</v>
      </c>
      <c r="Q58" s="193" t="n">
        <f aca="false">P58*Q69</f>
        <v>0</v>
      </c>
      <c r="R58" s="193" t="n">
        <f aca="false">Q58*R69</f>
        <v>0</v>
      </c>
      <c r="S58" s="204"/>
    </row>
    <row r="59" customFormat="false" ht="12.75" hidden="false" customHeight="false" outlineLevel="0" collapsed="false">
      <c r="A59" s="328" t="s">
        <v>241</v>
      </c>
      <c r="B59" s="70"/>
      <c r="C59" s="509"/>
      <c r="D59" s="457" t="n">
        <f aca="false">SUM(D51:D58)</f>
        <v>35137.755</v>
      </c>
      <c r="E59" s="457" t="n">
        <f aca="false">SUM(E51:E58)</f>
        <v>42737.522</v>
      </c>
      <c r="F59" s="457" t="n">
        <f aca="false">SUM(F51:F58)</f>
        <v>33711.148</v>
      </c>
      <c r="G59" s="457" t="n">
        <f aca="false">SUM(G51:G58)</f>
        <v>29084.758</v>
      </c>
      <c r="H59" s="176" t="n">
        <f aca="false">SUM(H51:H58)</f>
        <v>27803.5145956992</v>
      </c>
      <c r="I59" s="176" t="n">
        <f aca="false">SUM(I51:I58)</f>
        <v>27803.5145956992</v>
      </c>
      <c r="J59" s="176" t="n">
        <f aca="false">SUM(J51:J58)</f>
        <v>27803.5145956992</v>
      </c>
      <c r="K59" s="176" t="n">
        <f aca="false">SUM(K51:K58)</f>
        <v>27803.5145956992</v>
      </c>
      <c r="L59" s="176" t="n">
        <f aca="false">SUM(L51:L58)</f>
        <v>27803.5145956992</v>
      </c>
      <c r="M59" s="176" t="n">
        <f aca="false">SUM(M51:M58)</f>
        <v>27803.5145956992</v>
      </c>
      <c r="N59" s="176" t="n">
        <f aca="false">SUM(N51:N58)</f>
        <v>27803.5145956992</v>
      </c>
      <c r="O59" s="176" t="n">
        <f aca="false">SUM(O51:O58)</f>
        <v>27803.5145956992</v>
      </c>
      <c r="P59" s="176" t="n">
        <f aca="false">SUM(P51:P58)</f>
        <v>27803.5145956992</v>
      </c>
      <c r="Q59" s="176" t="n">
        <f aca="false">SUM(Q51:Q58)</f>
        <v>27803.5145956992</v>
      </c>
      <c r="R59" s="176" t="n">
        <f aca="false">SUM(R51:R58)</f>
        <v>27803.5145956992</v>
      </c>
      <c r="S59" s="204"/>
    </row>
    <row r="60" customFormat="false" ht="12.75" hidden="false" customHeight="false" outlineLevel="0" collapsed="false">
      <c r="C60" s="509"/>
      <c r="D60" s="509"/>
      <c r="E60" s="516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204"/>
    </row>
    <row r="61" customFormat="false" ht="15.75" hidden="true" customHeight="false" outlineLevel="1" collapsed="false">
      <c r="A61" s="517" t="s">
        <v>242</v>
      </c>
      <c r="B61" s="85"/>
      <c r="C61" s="518"/>
      <c r="D61" s="518"/>
      <c r="E61" s="519"/>
      <c r="F61" s="85"/>
      <c r="G61" s="520"/>
      <c r="H61" s="521"/>
      <c r="I61" s="521"/>
      <c r="J61" s="521"/>
      <c r="K61" s="521"/>
      <c r="L61" s="521"/>
      <c r="M61" s="521"/>
      <c r="N61" s="521"/>
      <c r="O61" s="521"/>
      <c r="P61" s="521"/>
      <c r="Q61" s="521"/>
      <c r="R61" s="521"/>
      <c r="S61" s="290"/>
    </row>
    <row r="62" customFormat="false" ht="12.75" hidden="true" customHeight="false" outlineLevel="1" collapsed="false">
      <c r="A62" s="386" t="s">
        <v>233</v>
      </c>
      <c r="C62" s="509"/>
      <c r="D62" s="509"/>
      <c r="E62" s="516"/>
      <c r="H62" s="90" t="n">
        <v>1.01</v>
      </c>
      <c r="I62" s="90" t="n">
        <v>1.01</v>
      </c>
      <c r="J62" s="90" t="n">
        <v>1.01</v>
      </c>
      <c r="K62" s="90" t="n">
        <v>1.01</v>
      </c>
      <c r="L62" s="90" t="n">
        <v>1.01</v>
      </c>
      <c r="M62" s="90" t="n">
        <v>1.01</v>
      </c>
      <c r="N62" s="90" t="n">
        <v>1.01</v>
      </c>
      <c r="O62" s="90" t="n">
        <v>1.01</v>
      </c>
      <c r="P62" s="90" t="n">
        <v>1.01</v>
      </c>
      <c r="Q62" s="90" t="n">
        <v>1.01</v>
      </c>
      <c r="R62" s="90" t="n">
        <v>1.01</v>
      </c>
      <c r="S62" s="204"/>
    </row>
    <row r="63" customFormat="false" ht="12.75" hidden="true" customHeight="false" outlineLevel="1" collapsed="false">
      <c r="A63" s="512" t="s">
        <v>234</v>
      </c>
      <c r="C63" s="509"/>
      <c r="D63" s="509"/>
      <c r="E63" s="70"/>
      <c r="F63" s="70"/>
      <c r="G63" s="70"/>
      <c r="H63" s="90" t="n">
        <v>1.02</v>
      </c>
      <c r="I63" s="90" t="n">
        <v>1.02</v>
      </c>
      <c r="J63" s="90" t="n">
        <v>1.02</v>
      </c>
      <c r="K63" s="90" t="n">
        <v>1.02</v>
      </c>
      <c r="L63" s="90" t="n">
        <v>1.02</v>
      </c>
      <c r="M63" s="90" t="n">
        <v>1.02</v>
      </c>
      <c r="N63" s="90" t="n">
        <v>1.02</v>
      </c>
      <c r="O63" s="90" t="n">
        <v>1.02</v>
      </c>
      <c r="P63" s="90" t="n">
        <v>1.02</v>
      </c>
      <c r="Q63" s="90" t="n">
        <v>1.02</v>
      </c>
      <c r="R63" s="90" t="n">
        <v>1.02</v>
      </c>
      <c r="S63" s="204"/>
    </row>
    <row r="64" customFormat="false" ht="12.75" hidden="true" customHeight="false" outlineLevel="1" collapsed="false">
      <c r="A64" s="512" t="s">
        <v>235</v>
      </c>
      <c r="C64" s="509"/>
      <c r="D64" s="522"/>
      <c r="E64" s="70" t="n">
        <f aca="false">E53/D53</f>
        <v>1.21628493339999</v>
      </c>
      <c r="F64" s="70" t="n">
        <f aca="false">F53/E53</f>
        <v>0.788795101409951</v>
      </c>
      <c r="G64" s="70" t="n">
        <f aca="false">G53/F53</f>
        <v>0.862763795525445</v>
      </c>
      <c r="H64" s="100" t="n">
        <f aca="false">AVERAGE(E64:G64)</f>
        <v>0.955947943445127</v>
      </c>
      <c r="I64" s="90" t="n">
        <v>1</v>
      </c>
      <c r="J64" s="90" t="n">
        <v>1</v>
      </c>
      <c r="K64" s="90" t="n">
        <v>1</v>
      </c>
      <c r="L64" s="90" t="n">
        <v>1</v>
      </c>
      <c r="M64" s="90" t="n">
        <f aca="false">L64</f>
        <v>1</v>
      </c>
      <c r="N64" s="90" t="n">
        <f aca="false">M64</f>
        <v>1</v>
      </c>
      <c r="O64" s="90" t="n">
        <f aca="false">N64</f>
        <v>1</v>
      </c>
      <c r="P64" s="90" t="n">
        <f aca="false">O64</f>
        <v>1</v>
      </c>
      <c r="Q64" s="90" t="n">
        <f aca="false">P64</f>
        <v>1</v>
      </c>
      <c r="R64" s="90" t="n">
        <f aca="false">Q64</f>
        <v>1</v>
      </c>
      <c r="S64" s="204"/>
    </row>
    <row r="65" customFormat="false" ht="12.75" hidden="true" customHeight="false" outlineLevel="1" collapsed="false">
      <c r="A65" s="386" t="s">
        <v>236</v>
      </c>
      <c r="C65" s="509"/>
      <c r="D65" s="509"/>
      <c r="E65" s="70"/>
      <c r="F65" s="70"/>
      <c r="G65" s="70"/>
      <c r="H65" s="90" t="n">
        <v>1.02</v>
      </c>
      <c r="I65" s="90" t="n">
        <v>1.02</v>
      </c>
      <c r="J65" s="90" t="n">
        <v>1.02</v>
      </c>
      <c r="K65" s="90" t="n">
        <v>1.02</v>
      </c>
      <c r="L65" s="90" t="n">
        <v>1.02</v>
      </c>
      <c r="M65" s="90" t="n">
        <v>1.02</v>
      </c>
      <c r="N65" s="90" t="n">
        <v>1.02</v>
      </c>
      <c r="O65" s="90" t="n">
        <v>1.02</v>
      </c>
      <c r="P65" s="90" t="n">
        <v>1.02</v>
      </c>
      <c r="Q65" s="90" t="n">
        <v>1.02</v>
      </c>
      <c r="R65" s="90" t="n">
        <v>1.02</v>
      </c>
      <c r="S65" s="204"/>
    </row>
    <row r="66" customFormat="false" ht="12.75" hidden="true" customHeight="false" outlineLevel="1" collapsed="false">
      <c r="A66" s="386" t="s">
        <v>244</v>
      </c>
      <c r="C66" s="509"/>
      <c r="D66" s="509"/>
      <c r="E66" s="70"/>
      <c r="F66" s="70"/>
      <c r="G66" s="70"/>
      <c r="H66" s="90" t="n">
        <v>1.03</v>
      </c>
      <c r="I66" s="90" t="n">
        <v>1.03</v>
      </c>
      <c r="J66" s="90" t="n">
        <v>1.03</v>
      </c>
      <c r="K66" s="90" t="n">
        <v>1.03</v>
      </c>
      <c r="L66" s="90" t="n">
        <v>1.03</v>
      </c>
      <c r="M66" s="90" t="n">
        <v>1.03</v>
      </c>
      <c r="N66" s="90" t="n">
        <v>1.03</v>
      </c>
      <c r="O66" s="90" t="n">
        <v>1.03</v>
      </c>
      <c r="P66" s="90" t="n">
        <v>1.03</v>
      </c>
      <c r="Q66" s="90" t="n">
        <v>1.03</v>
      </c>
      <c r="R66" s="90" t="n">
        <v>1.03</v>
      </c>
      <c r="S66" s="204"/>
    </row>
    <row r="67" customFormat="false" ht="12.75" hidden="true" customHeight="false" outlineLevel="1" collapsed="false">
      <c r="A67" s="512" t="str">
        <f aca="false">A56</f>
        <v>Gas and Liquids Sold</v>
      </c>
      <c r="C67" s="509"/>
      <c r="D67" s="509"/>
      <c r="E67" s="70"/>
      <c r="F67" s="70"/>
      <c r="G67" s="70"/>
      <c r="H67" s="90" t="n">
        <v>1.25</v>
      </c>
      <c r="I67" s="90" t="n">
        <v>1.25</v>
      </c>
      <c r="J67" s="90" t="n">
        <v>1.25</v>
      </c>
      <c r="K67" s="90" t="n">
        <v>1.15</v>
      </c>
      <c r="L67" s="90" t="n">
        <v>1.15</v>
      </c>
      <c r="M67" s="90" t="n">
        <v>1.15</v>
      </c>
      <c r="N67" s="90" t="n">
        <v>1.05</v>
      </c>
      <c r="O67" s="90" t="n">
        <v>1.05</v>
      </c>
      <c r="P67" s="90" t="n">
        <v>1.05</v>
      </c>
      <c r="Q67" s="90" t="n">
        <v>1</v>
      </c>
      <c r="R67" s="90" t="n">
        <v>1</v>
      </c>
      <c r="S67" s="204"/>
    </row>
    <row r="68" customFormat="false" ht="12.75" hidden="true" customHeight="false" outlineLevel="1" collapsed="false">
      <c r="A68" s="512" t="s">
        <v>239</v>
      </c>
      <c r="C68" s="509"/>
      <c r="D68" s="509"/>
      <c r="E68" s="70"/>
      <c r="F68" s="70"/>
      <c r="G68" s="70"/>
      <c r="H68" s="90" t="n">
        <v>1.01</v>
      </c>
      <c r="I68" s="90" t="n">
        <v>1.01</v>
      </c>
      <c r="J68" s="90" t="n">
        <v>1.01</v>
      </c>
      <c r="K68" s="90" t="n">
        <v>1.01</v>
      </c>
      <c r="L68" s="90" t="n">
        <v>1.01</v>
      </c>
      <c r="M68" s="90" t="n">
        <v>1.01</v>
      </c>
      <c r="N68" s="90" t="n">
        <v>1.01</v>
      </c>
      <c r="O68" s="90" t="n">
        <v>1.01</v>
      </c>
      <c r="P68" s="90" t="n">
        <v>1.01</v>
      </c>
      <c r="Q68" s="90" t="n">
        <v>1.01</v>
      </c>
      <c r="R68" s="90" t="n">
        <v>1.01</v>
      </c>
      <c r="S68" s="204"/>
    </row>
    <row r="69" customFormat="false" ht="12.75" hidden="true" customHeight="false" outlineLevel="1" collapsed="false">
      <c r="A69" s="454" t="s">
        <v>240</v>
      </c>
      <c r="C69" s="509"/>
      <c r="D69" s="509"/>
      <c r="E69" s="70"/>
      <c r="F69" s="70"/>
      <c r="G69" s="70"/>
      <c r="H69" s="90" t="n">
        <v>1.1</v>
      </c>
      <c r="I69" s="90" t="n">
        <f aca="false">H69</f>
        <v>1.1</v>
      </c>
      <c r="J69" s="90" t="n">
        <f aca="false">I69</f>
        <v>1.1</v>
      </c>
      <c r="K69" s="90" t="n">
        <f aca="false">J69</f>
        <v>1.1</v>
      </c>
      <c r="L69" s="90" t="n">
        <f aca="false">K69</f>
        <v>1.1</v>
      </c>
      <c r="M69" s="90" t="n">
        <v>1.05</v>
      </c>
      <c r="N69" s="90" t="n">
        <v>1.05</v>
      </c>
      <c r="O69" s="90" t="n">
        <v>1.05</v>
      </c>
      <c r="P69" s="90" t="n">
        <v>1.05</v>
      </c>
      <c r="Q69" s="90" t="n">
        <v>1.05</v>
      </c>
      <c r="R69" s="90" t="n">
        <v>1.05</v>
      </c>
      <c r="S69" s="204"/>
    </row>
    <row r="70" customFormat="false" ht="12.75" hidden="true" customHeight="false" outlineLevel="1" collapsed="false">
      <c r="S70" s="204"/>
    </row>
    <row r="71" customFormat="false" ht="12.75" hidden="true" customHeight="false" outlineLevel="1" collapsed="false">
      <c r="S71" s="204"/>
    </row>
    <row r="72" customFormat="false" ht="15.75" hidden="false" customHeight="false" outlineLevel="0" collapsed="false">
      <c r="A72" s="284" t="s">
        <v>245</v>
      </c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204"/>
    </row>
    <row r="73" customFormat="false" ht="14.25" hidden="false" customHeight="true" outlineLevel="0" collapsed="false">
      <c r="A73" s="288"/>
      <c r="B73" s="204"/>
      <c r="C73" s="204"/>
      <c r="D73" s="204"/>
      <c r="E73" s="292"/>
      <c r="F73" s="292"/>
      <c r="G73" s="293"/>
      <c r="H73" s="294" t="s">
        <v>156</v>
      </c>
      <c r="I73" s="295"/>
      <c r="J73" s="293"/>
      <c r="K73" s="293"/>
      <c r="L73" s="296"/>
      <c r="M73" s="293"/>
      <c r="N73" s="296"/>
      <c r="O73" s="296"/>
      <c r="P73" s="296"/>
      <c r="Q73" s="296"/>
      <c r="R73" s="75"/>
      <c r="S73" s="204"/>
    </row>
    <row r="74" customFormat="false" ht="15.75" hidden="false" customHeight="false" outlineLevel="0" collapsed="false">
      <c r="A74" s="288"/>
      <c r="B74" s="304" t="s">
        <v>159</v>
      </c>
      <c r="C74" s="204"/>
      <c r="D74" s="452" t="n">
        <v>1997</v>
      </c>
      <c r="E74" s="297" t="n">
        <v>1998</v>
      </c>
      <c r="F74" s="297" t="n">
        <v>1999</v>
      </c>
      <c r="G74" s="297" t="n">
        <v>2000</v>
      </c>
      <c r="H74" s="297" t="n">
        <v>2001</v>
      </c>
      <c r="I74" s="298" t="n">
        <v>2002</v>
      </c>
      <c r="J74" s="298" t="n">
        <v>2003</v>
      </c>
      <c r="K74" s="298" t="n">
        <v>2004</v>
      </c>
      <c r="L74" s="298" t="n">
        <v>2005</v>
      </c>
      <c r="M74" s="298" t="n">
        <v>2006</v>
      </c>
      <c r="N74" s="299" t="n">
        <v>2007</v>
      </c>
      <c r="O74" s="299" t="n">
        <v>2008</v>
      </c>
      <c r="P74" s="299" t="n">
        <v>2009</v>
      </c>
      <c r="Q74" s="299" t="n">
        <v>2010</v>
      </c>
      <c r="R74" s="414" t="n">
        <v>2011</v>
      </c>
      <c r="S74" s="204"/>
    </row>
    <row r="75" customFormat="false" ht="12.75" hidden="false" customHeight="false" outlineLevel="0" collapsed="false">
      <c r="A75" s="386" t="s">
        <v>246</v>
      </c>
      <c r="B75" s="510" t="n">
        <v>0</v>
      </c>
      <c r="C75" s="16"/>
      <c r="D75" s="511"/>
      <c r="E75" s="511" t="n">
        <f aca="false">$B$75*359</f>
        <v>0</v>
      </c>
      <c r="F75" s="511" t="n">
        <f aca="false">$B$75*406</f>
        <v>0</v>
      </c>
      <c r="G75" s="511" t="n">
        <f aca="false">$B$75*408</f>
        <v>0</v>
      </c>
      <c r="H75" s="157" t="n">
        <f aca="false">$B$75*2*171</f>
        <v>0</v>
      </c>
      <c r="I75" s="184" t="n">
        <f aca="false">H75*I86</f>
        <v>0</v>
      </c>
      <c r="J75" s="184" t="n">
        <f aca="false">I75*J86</f>
        <v>0</v>
      </c>
      <c r="K75" s="184" t="n">
        <f aca="false">J75*K86</f>
        <v>0</v>
      </c>
      <c r="L75" s="184" t="n">
        <f aca="false">K75*L86</f>
        <v>0</v>
      </c>
      <c r="M75" s="184" t="n">
        <f aca="false">L75*M86</f>
        <v>0</v>
      </c>
      <c r="N75" s="184" t="n">
        <f aca="false">M75*N86</f>
        <v>0</v>
      </c>
      <c r="O75" s="184" t="n">
        <f aca="false">N75*O86</f>
        <v>0</v>
      </c>
      <c r="P75" s="184" t="n">
        <f aca="false">O75*P86</f>
        <v>0</v>
      </c>
      <c r="Q75" s="184" t="n">
        <f aca="false">P75*Q86</f>
        <v>0</v>
      </c>
      <c r="R75" s="184" t="n">
        <f aca="false">Q75*R86</f>
        <v>0</v>
      </c>
      <c r="S75" s="204"/>
    </row>
    <row r="76" customFormat="false" ht="12.75" hidden="false" customHeight="false" outlineLevel="0" collapsed="false">
      <c r="A76" s="523" t="s">
        <v>247</v>
      </c>
      <c r="B76" s="510" t="n">
        <v>0</v>
      </c>
      <c r="C76" s="16"/>
      <c r="D76" s="511"/>
      <c r="E76" s="511" t="n">
        <f aca="false">$B$76*287</f>
        <v>0</v>
      </c>
      <c r="F76" s="511" t="n">
        <f aca="false">$B$76*108</f>
        <v>0</v>
      </c>
      <c r="G76" s="511" t="n">
        <f aca="false">$B$76*1457</f>
        <v>0</v>
      </c>
      <c r="H76" s="157" t="n">
        <f aca="false">$B$76*2*2999</f>
        <v>0</v>
      </c>
      <c r="I76" s="184" t="n">
        <f aca="false">H76*I87</f>
        <v>0</v>
      </c>
      <c r="J76" s="184" t="n">
        <f aca="false">I76*J87</f>
        <v>0</v>
      </c>
      <c r="K76" s="184" t="n">
        <f aca="false">J76*K87</f>
        <v>0</v>
      </c>
      <c r="L76" s="184" t="n">
        <f aca="false">K76*L87</f>
        <v>0</v>
      </c>
      <c r="M76" s="184" t="n">
        <f aca="false">L76*M87</f>
        <v>0</v>
      </c>
      <c r="N76" s="184" t="n">
        <f aca="false">M76*N87</f>
        <v>0</v>
      </c>
      <c r="O76" s="184" t="n">
        <f aca="false">N76*O87</f>
        <v>0</v>
      </c>
      <c r="P76" s="184" t="n">
        <f aca="false">O76*P87</f>
        <v>0</v>
      </c>
      <c r="Q76" s="184" t="n">
        <f aca="false">P76*Q87</f>
        <v>0</v>
      </c>
      <c r="R76" s="184" t="n">
        <f aca="false">Q76*R87</f>
        <v>0</v>
      </c>
      <c r="S76" s="204"/>
    </row>
    <row r="77" customFormat="false" ht="12.75" hidden="false" customHeight="false" outlineLevel="0" collapsed="false">
      <c r="A77" s="386" t="s">
        <v>248</v>
      </c>
      <c r="B77" s="510" t="n">
        <v>0</v>
      </c>
      <c r="C77" s="16"/>
      <c r="D77" s="511"/>
      <c r="E77" s="511" t="n">
        <f aca="false">$B$77*297</f>
        <v>0</v>
      </c>
      <c r="F77" s="511" t="n">
        <f aca="false">$B$77*401</f>
        <v>0</v>
      </c>
      <c r="G77" s="511" t="n">
        <f aca="false">$B$77*529</f>
        <v>0</v>
      </c>
      <c r="H77" s="157" t="n">
        <f aca="false">$B$77*2*266</f>
        <v>0</v>
      </c>
      <c r="I77" s="184" t="n">
        <f aca="false">H77*I88</f>
        <v>0</v>
      </c>
      <c r="J77" s="184" t="n">
        <f aca="false">I77*J88</f>
        <v>0</v>
      </c>
      <c r="K77" s="184" t="n">
        <f aca="false">J77*K88</f>
        <v>0</v>
      </c>
      <c r="L77" s="184" t="n">
        <f aca="false">K77*L88</f>
        <v>0</v>
      </c>
      <c r="M77" s="184" t="n">
        <f aca="false">L77*M88</f>
        <v>0</v>
      </c>
      <c r="N77" s="184" t="n">
        <f aca="false">M77*N88</f>
        <v>0</v>
      </c>
      <c r="O77" s="184" t="n">
        <f aca="false">N77*O88</f>
        <v>0</v>
      </c>
      <c r="P77" s="184" t="n">
        <f aca="false">O77*P88</f>
        <v>0</v>
      </c>
      <c r="Q77" s="184" t="n">
        <f aca="false">P77*Q88</f>
        <v>0</v>
      </c>
      <c r="R77" s="184" t="n">
        <f aca="false">Q77*R88</f>
        <v>0</v>
      </c>
      <c r="S77" s="204"/>
    </row>
    <row r="78" customFormat="false" ht="12.75" hidden="false" customHeight="false" outlineLevel="0" collapsed="false">
      <c r="A78" s="386" t="s">
        <v>249</v>
      </c>
      <c r="B78" s="510" t="n">
        <v>0</v>
      </c>
      <c r="C78" s="16"/>
      <c r="D78" s="511"/>
      <c r="E78" s="511" t="n">
        <f aca="false">$B$78*573</f>
        <v>0</v>
      </c>
      <c r="F78" s="511" t="n">
        <f aca="false">$B$78*560</f>
        <v>0</v>
      </c>
      <c r="G78" s="511" t="n">
        <f aca="false">$B$78*555</f>
        <v>0</v>
      </c>
      <c r="H78" s="157" t="n">
        <f aca="false">$B$78*2*244</f>
        <v>0</v>
      </c>
      <c r="I78" s="184" t="n">
        <f aca="false">H78*I89</f>
        <v>0</v>
      </c>
      <c r="J78" s="184" t="n">
        <f aca="false">I78*J89</f>
        <v>0</v>
      </c>
      <c r="K78" s="184" t="n">
        <f aca="false">J78*K89</f>
        <v>0</v>
      </c>
      <c r="L78" s="184" t="n">
        <f aca="false">K78*L89</f>
        <v>0</v>
      </c>
      <c r="M78" s="184" t="n">
        <f aca="false">L78*M89</f>
        <v>0</v>
      </c>
      <c r="N78" s="184" t="n">
        <f aca="false">M78*N89</f>
        <v>0</v>
      </c>
      <c r="O78" s="184" t="n">
        <f aca="false">N78*O89</f>
        <v>0</v>
      </c>
      <c r="P78" s="184" t="n">
        <f aca="false">O78*P89</f>
        <v>0</v>
      </c>
      <c r="Q78" s="184" t="n">
        <f aca="false">P78*Q89</f>
        <v>0</v>
      </c>
      <c r="R78" s="184" t="n">
        <f aca="false">Q78*R89</f>
        <v>0</v>
      </c>
      <c r="S78" s="204"/>
    </row>
    <row r="79" customFormat="false" ht="12.75" hidden="false" customHeight="false" outlineLevel="0" collapsed="false">
      <c r="A79" s="512" t="s">
        <v>250</v>
      </c>
      <c r="B79" s="510" t="n">
        <v>1</v>
      </c>
      <c r="C79" s="16"/>
      <c r="D79" s="511"/>
      <c r="E79" s="511"/>
      <c r="F79" s="511"/>
      <c r="G79" s="511"/>
      <c r="H79" s="158" t="n">
        <f aca="false">G79*H90</f>
        <v>0</v>
      </c>
      <c r="I79" s="184" t="n">
        <f aca="false">H79*I90</f>
        <v>0</v>
      </c>
      <c r="J79" s="184" t="n">
        <f aca="false">I79*J90</f>
        <v>0</v>
      </c>
      <c r="K79" s="184" t="n">
        <f aca="false">J79*K90</f>
        <v>0</v>
      </c>
      <c r="L79" s="184" t="n">
        <f aca="false">K79*L90</f>
        <v>0</v>
      </c>
      <c r="M79" s="184" t="n">
        <f aca="false">L79*M90</f>
        <v>0</v>
      </c>
      <c r="N79" s="184" t="n">
        <f aca="false">M79*N90</f>
        <v>0</v>
      </c>
      <c r="O79" s="184" t="n">
        <f aca="false">N79*O90</f>
        <v>0</v>
      </c>
      <c r="P79" s="184" t="n">
        <f aca="false">O79*P90</f>
        <v>0</v>
      </c>
      <c r="Q79" s="184" t="n">
        <f aca="false">P79*Q90</f>
        <v>0</v>
      </c>
      <c r="R79" s="184" t="n">
        <f aca="false">Q79*R90</f>
        <v>0</v>
      </c>
      <c r="S79" s="204"/>
    </row>
    <row r="80" customFormat="false" ht="12.75" hidden="false" customHeight="false" outlineLevel="0" collapsed="false">
      <c r="A80" s="386" t="s">
        <v>272</v>
      </c>
      <c r="B80" s="510" t="n">
        <v>0</v>
      </c>
      <c r="C80" s="16"/>
      <c r="D80" s="511"/>
      <c r="E80" s="511" t="n">
        <f aca="false">$B$80*31884</f>
        <v>0</v>
      </c>
      <c r="F80" s="511" t="n">
        <f aca="false">$B$80*29637</f>
        <v>0</v>
      </c>
      <c r="G80" s="511" t="n">
        <f aca="false">$B$80*29231</f>
        <v>0</v>
      </c>
      <c r="H80" s="184" t="n">
        <f aca="false">G80*H91</f>
        <v>0</v>
      </c>
      <c r="I80" s="184" t="n">
        <f aca="false">H80*I91</f>
        <v>0</v>
      </c>
      <c r="J80" s="184" t="n">
        <f aca="false">I80*J91</f>
        <v>0</v>
      </c>
      <c r="K80" s="184" t="n">
        <f aca="false">J80*K91</f>
        <v>0</v>
      </c>
      <c r="L80" s="184" t="n">
        <f aca="false">K80*L91</f>
        <v>0</v>
      </c>
      <c r="M80" s="184" t="n">
        <f aca="false">L80*M91</f>
        <v>0</v>
      </c>
      <c r="N80" s="184" t="n">
        <f aca="false">M80*N91</f>
        <v>0</v>
      </c>
      <c r="O80" s="184" t="n">
        <f aca="false">N80*O91</f>
        <v>0</v>
      </c>
      <c r="P80" s="184" t="n">
        <f aca="false">O80*P91</f>
        <v>0</v>
      </c>
      <c r="Q80" s="184" t="n">
        <f aca="false">P80*Q91</f>
        <v>0</v>
      </c>
      <c r="R80" s="184" t="n">
        <f aca="false">Q80*R91</f>
        <v>0</v>
      </c>
      <c r="S80" s="204"/>
    </row>
    <row r="81" customFormat="false" ht="12.75" hidden="false" customHeight="false" outlineLevel="0" collapsed="false">
      <c r="A81" s="386" t="s">
        <v>252</v>
      </c>
      <c r="B81" s="510" t="n">
        <v>1</v>
      </c>
      <c r="C81" s="16"/>
      <c r="D81" s="511" t="n">
        <v>3073</v>
      </c>
      <c r="E81" s="511" t="n">
        <v>3282.856</v>
      </c>
      <c r="F81" s="511" t="n">
        <v>2827.408</v>
      </c>
      <c r="G81" s="511" t="n">
        <v>3699.5</v>
      </c>
      <c r="H81" s="184" t="n">
        <f aca="false">G81*H92</f>
        <v>3884.475</v>
      </c>
      <c r="I81" s="184" t="n">
        <f aca="false">H81*I92</f>
        <v>3884.475</v>
      </c>
      <c r="J81" s="184" t="n">
        <f aca="false">I81*J92</f>
        <v>3884.475</v>
      </c>
      <c r="K81" s="184" t="n">
        <f aca="false">J81*K92</f>
        <v>3884.475</v>
      </c>
      <c r="L81" s="184" t="n">
        <f aca="false">K81*L92</f>
        <v>3884.475</v>
      </c>
      <c r="M81" s="184" t="n">
        <f aca="false">L81*M92</f>
        <v>3884.475</v>
      </c>
      <c r="N81" s="184" t="n">
        <f aca="false">M81*N92</f>
        <v>3884.475</v>
      </c>
      <c r="O81" s="184" t="n">
        <f aca="false">N81*O92</f>
        <v>3884.475</v>
      </c>
      <c r="P81" s="184" t="n">
        <f aca="false">O81*P92</f>
        <v>3884.475</v>
      </c>
      <c r="Q81" s="184" t="n">
        <f aca="false">P81*Q92</f>
        <v>3884.475</v>
      </c>
      <c r="R81" s="184" t="n">
        <f aca="false">Q81*R92</f>
        <v>3884.475</v>
      </c>
      <c r="S81" s="204"/>
    </row>
    <row r="82" customFormat="false" ht="12.75" hidden="false" customHeight="false" outlineLevel="0" collapsed="false">
      <c r="A82" s="524" t="s">
        <v>253</v>
      </c>
      <c r="B82" s="103" t="n">
        <v>1</v>
      </c>
      <c r="C82" s="75"/>
      <c r="D82" s="515" t="n">
        <v>984.8</v>
      </c>
      <c r="E82" s="515" t="n">
        <v>1153</v>
      </c>
      <c r="F82" s="515" t="n">
        <v>878.9</v>
      </c>
      <c r="G82" s="515" t="n">
        <v>773.5</v>
      </c>
      <c r="H82" s="193" t="n">
        <f aca="false">G82*H93</f>
        <v>734.825</v>
      </c>
      <c r="I82" s="193" t="n">
        <f aca="false">H82*I93</f>
        <v>734.825</v>
      </c>
      <c r="J82" s="193" t="n">
        <f aca="false">I82*J93</f>
        <v>734.825</v>
      </c>
      <c r="K82" s="193" t="n">
        <f aca="false">J82*K93</f>
        <v>734.825</v>
      </c>
      <c r="L82" s="193" t="n">
        <f aca="false">K82*L93</f>
        <v>734.825</v>
      </c>
      <c r="M82" s="193" t="n">
        <f aca="false">L82*M93</f>
        <v>734.825</v>
      </c>
      <c r="N82" s="193" t="n">
        <f aca="false">M82*N93</f>
        <v>734.825</v>
      </c>
      <c r="O82" s="193" t="n">
        <f aca="false">N82*O93</f>
        <v>734.825</v>
      </c>
      <c r="P82" s="193" t="n">
        <f aca="false">O82*P93</f>
        <v>734.825</v>
      </c>
      <c r="Q82" s="193" t="n">
        <f aca="false">P82*Q93</f>
        <v>734.825</v>
      </c>
      <c r="R82" s="193" t="n">
        <f aca="false">Q82*R93</f>
        <v>734.825</v>
      </c>
      <c r="S82" s="204"/>
    </row>
    <row r="83" customFormat="false" ht="12.75" hidden="false" customHeight="false" outlineLevel="0" collapsed="false">
      <c r="A83" s="328" t="s">
        <v>254</v>
      </c>
      <c r="B83" s="209"/>
      <c r="C83" s="509"/>
      <c r="D83" s="457" t="n">
        <f aca="false">SUM(D75:D82)</f>
        <v>4057.8</v>
      </c>
      <c r="E83" s="457" t="n">
        <f aca="false">SUM(E75:E82)</f>
        <v>4435.856</v>
      </c>
      <c r="F83" s="457" t="n">
        <f aca="false">SUM(F75:F82)</f>
        <v>3706.308</v>
      </c>
      <c r="G83" s="457" t="n">
        <f aca="false">SUM(G75:G82)</f>
        <v>4473</v>
      </c>
      <c r="H83" s="176" t="n">
        <f aca="false">SUM(H75:H82)</f>
        <v>4619.3</v>
      </c>
      <c r="I83" s="176" t="n">
        <f aca="false">SUM(I75:I82)</f>
        <v>4619.3</v>
      </c>
      <c r="J83" s="176" t="n">
        <f aca="false">SUM(J75:J82)</f>
        <v>4619.3</v>
      </c>
      <c r="K83" s="176" t="n">
        <f aca="false">SUM(K75:K82)</f>
        <v>4619.3</v>
      </c>
      <c r="L83" s="176" t="n">
        <f aca="false">SUM(L75:L82)</f>
        <v>4619.3</v>
      </c>
      <c r="M83" s="176" t="n">
        <f aca="false">SUM(M75:M82)</f>
        <v>4619.3</v>
      </c>
      <c r="N83" s="176" t="n">
        <f aca="false">SUM(N75:N82)</f>
        <v>4619.3</v>
      </c>
      <c r="O83" s="176" t="n">
        <f aca="false">SUM(O75:O82)</f>
        <v>4619.3</v>
      </c>
      <c r="P83" s="176" t="n">
        <f aca="false">SUM(P75:P82)</f>
        <v>4619.3</v>
      </c>
      <c r="Q83" s="176" t="n">
        <f aca="false">SUM(Q75:Q82)</f>
        <v>4619.3</v>
      </c>
      <c r="R83" s="176" t="n">
        <f aca="false">SUM(R75:R82)</f>
        <v>4619.3</v>
      </c>
      <c r="S83" s="204"/>
    </row>
    <row r="84" customFormat="false" ht="12.75" hidden="false" customHeight="false" outlineLevel="0" collapsed="false">
      <c r="C84" s="16"/>
      <c r="D84" s="16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204"/>
    </row>
    <row r="85" customFormat="false" ht="15.75" hidden="true" customHeight="false" outlineLevel="1" collapsed="false">
      <c r="A85" s="517" t="s">
        <v>242</v>
      </c>
      <c r="B85" s="85"/>
      <c r="C85" s="518"/>
      <c r="D85" s="518"/>
      <c r="E85" s="519"/>
      <c r="F85" s="85"/>
      <c r="G85" s="520"/>
      <c r="H85" s="521"/>
      <c r="I85" s="521"/>
      <c r="J85" s="521"/>
      <c r="K85" s="521"/>
      <c r="L85" s="521"/>
      <c r="M85" s="521"/>
      <c r="N85" s="521"/>
      <c r="O85" s="521"/>
      <c r="P85" s="521"/>
      <c r="Q85" s="521"/>
      <c r="R85" s="521"/>
      <c r="S85" s="290"/>
    </row>
    <row r="86" customFormat="false" ht="12.75" hidden="true" customHeight="false" outlineLevel="1" collapsed="false">
      <c r="A86" s="386" t="s">
        <v>246</v>
      </c>
      <c r="C86" s="509"/>
      <c r="D86" s="509"/>
      <c r="E86" s="516"/>
      <c r="H86" s="90" t="n">
        <v>1.01</v>
      </c>
      <c r="I86" s="90" t="n">
        <v>1.01</v>
      </c>
      <c r="J86" s="90" t="n">
        <v>1.01</v>
      </c>
      <c r="K86" s="90" t="n">
        <v>1.01</v>
      </c>
      <c r="L86" s="90" t="n">
        <v>1.01</v>
      </c>
      <c r="M86" s="90" t="n">
        <v>1.01</v>
      </c>
      <c r="N86" s="90" t="n">
        <v>1.01</v>
      </c>
      <c r="O86" s="90" t="n">
        <v>1.01</v>
      </c>
      <c r="P86" s="90" t="n">
        <v>1.01</v>
      </c>
      <c r="Q86" s="90" t="n">
        <v>1.01</v>
      </c>
      <c r="R86" s="90" t="n">
        <v>1.01</v>
      </c>
      <c r="S86" s="204"/>
    </row>
    <row r="87" customFormat="false" ht="12.75" hidden="true" customHeight="false" outlineLevel="1" collapsed="false">
      <c r="A87" s="523" t="s">
        <v>247</v>
      </c>
      <c r="C87" s="509"/>
      <c r="D87" s="509"/>
      <c r="E87" s="516"/>
      <c r="G87" s="340"/>
      <c r="H87" s="90" t="n">
        <v>1.25</v>
      </c>
      <c r="I87" s="90" t="n">
        <v>1.25</v>
      </c>
      <c r="J87" s="90" t="n">
        <v>1.25</v>
      </c>
      <c r="K87" s="90" t="n">
        <v>1.15</v>
      </c>
      <c r="L87" s="90" t="n">
        <v>1.15</v>
      </c>
      <c r="M87" s="90" t="n">
        <v>1.05</v>
      </c>
      <c r="N87" s="90" t="n">
        <v>1.05</v>
      </c>
      <c r="O87" s="90" t="n">
        <v>0.95</v>
      </c>
      <c r="P87" s="90" t="n">
        <v>0.95</v>
      </c>
      <c r="Q87" s="90" t="n">
        <v>0.85</v>
      </c>
      <c r="R87" s="90" t="n">
        <v>0.85</v>
      </c>
      <c r="S87" s="204"/>
    </row>
    <row r="88" customFormat="false" ht="12.75" hidden="true" customHeight="false" outlineLevel="1" collapsed="false">
      <c r="A88" s="386" t="s">
        <v>248</v>
      </c>
      <c r="C88" s="509"/>
      <c r="D88" s="509"/>
      <c r="E88" s="516"/>
      <c r="G88" s="340"/>
      <c r="H88" s="90" t="n">
        <v>1.03</v>
      </c>
      <c r="I88" s="90" t="n">
        <v>1.03</v>
      </c>
      <c r="J88" s="90" t="n">
        <v>1.03</v>
      </c>
      <c r="K88" s="90" t="n">
        <v>1.03</v>
      </c>
      <c r="L88" s="90" t="n">
        <v>1.03</v>
      </c>
      <c r="M88" s="90" t="n">
        <v>1.03</v>
      </c>
      <c r="N88" s="90" t="n">
        <v>1.03</v>
      </c>
      <c r="O88" s="90" t="n">
        <v>1.03</v>
      </c>
      <c r="P88" s="90" t="n">
        <v>1.03</v>
      </c>
      <c r="Q88" s="90" t="n">
        <v>1.03</v>
      </c>
      <c r="R88" s="90" t="n">
        <v>1.03</v>
      </c>
      <c r="S88" s="204"/>
    </row>
    <row r="89" customFormat="false" ht="12.75" hidden="true" customHeight="false" outlineLevel="1" collapsed="false">
      <c r="A89" s="386" t="s">
        <v>249</v>
      </c>
      <c r="C89" s="509"/>
      <c r="D89" s="509"/>
      <c r="E89" s="516"/>
      <c r="G89" s="340"/>
      <c r="H89" s="90" t="n">
        <v>1.02</v>
      </c>
      <c r="I89" s="90" t="n">
        <v>1.02</v>
      </c>
      <c r="J89" s="90" t="n">
        <v>1.02</v>
      </c>
      <c r="K89" s="90" t="n">
        <v>1.02</v>
      </c>
      <c r="L89" s="90" t="n">
        <v>1.02</v>
      </c>
      <c r="M89" s="90" t="n">
        <v>1.02</v>
      </c>
      <c r="N89" s="90" t="n">
        <v>1.02</v>
      </c>
      <c r="O89" s="90" t="n">
        <v>1.02</v>
      </c>
      <c r="P89" s="90" t="n">
        <v>1.02</v>
      </c>
      <c r="Q89" s="90" t="n">
        <v>1.02</v>
      </c>
      <c r="R89" s="90" t="n">
        <v>1.02</v>
      </c>
      <c r="S89" s="204"/>
    </row>
    <row r="90" customFormat="false" ht="12.75" hidden="true" customHeight="false" outlineLevel="1" collapsed="false">
      <c r="A90" s="512" t="str">
        <f aca="false">A79</f>
        <v>Cost of Sales</v>
      </c>
      <c r="C90" s="509"/>
      <c r="D90" s="525"/>
      <c r="E90" s="70"/>
      <c r="F90" s="70"/>
      <c r="G90" s="70"/>
      <c r="H90" s="90" t="n">
        <v>1.1</v>
      </c>
      <c r="I90" s="90" t="n">
        <f aca="false">H90</f>
        <v>1.1</v>
      </c>
      <c r="J90" s="90" t="n">
        <f aca="false">I90</f>
        <v>1.1</v>
      </c>
      <c r="K90" s="90" t="n">
        <f aca="false">J90</f>
        <v>1.1</v>
      </c>
      <c r="L90" s="90" t="n">
        <f aca="false">K90</f>
        <v>1.1</v>
      </c>
      <c r="M90" s="90" t="n">
        <v>1.05</v>
      </c>
      <c r="N90" s="90" t="n">
        <f aca="false">M90</f>
        <v>1.05</v>
      </c>
      <c r="O90" s="90" t="n">
        <v>1.05</v>
      </c>
      <c r="P90" s="90" t="n">
        <v>1.05</v>
      </c>
      <c r="Q90" s="90" t="n">
        <v>1</v>
      </c>
      <c r="R90" s="90" t="n">
        <v>1</v>
      </c>
      <c r="S90" s="204"/>
    </row>
    <row r="91" customFormat="false" ht="12.75" hidden="true" customHeight="false" outlineLevel="1" collapsed="false">
      <c r="A91" s="386" t="s">
        <v>272</v>
      </c>
      <c r="C91" s="509"/>
      <c r="D91" s="509"/>
      <c r="E91" s="70"/>
      <c r="F91" s="70"/>
      <c r="G91" s="70"/>
      <c r="H91" s="90" t="n">
        <v>1.01</v>
      </c>
      <c r="I91" s="90" t="n">
        <v>1.01</v>
      </c>
      <c r="J91" s="90" t="n">
        <v>1.01</v>
      </c>
      <c r="K91" s="90" t="n">
        <v>1.01</v>
      </c>
      <c r="L91" s="90" t="n">
        <v>1.01</v>
      </c>
      <c r="M91" s="90" t="n">
        <v>1.01</v>
      </c>
      <c r="N91" s="90" t="n">
        <v>1.01</v>
      </c>
      <c r="O91" s="90" t="n">
        <v>1.01</v>
      </c>
      <c r="P91" s="90" t="n">
        <v>1.01</v>
      </c>
      <c r="Q91" s="90" t="n">
        <v>1.01</v>
      </c>
      <c r="R91" s="90" t="n">
        <v>1.01</v>
      </c>
      <c r="S91" s="204"/>
    </row>
    <row r="92" customFormat="false" ht="12.75" hidden="true" customHeight="false" outlineLevel="1" collapsed="false">
      <c r="A92" s="386" t="s">
        <v>252</v>
      </c>
      <c r="C92" s="509"/>
      <c r="D92" s="522"/>
      <c r="E92" s="70" t="n">
        <f aca="false">E81/D81</f>
        <v>1.06829027009437</v>
      </c>
      <c r="F92" s="70" t="n">
        <f aca="false">F81/E81</f>
        <v>0.861264703660471</v>
      </c>
      <c r="G92" s="70" t="n">
        <f aca="false">G81/F81</f>
        <v>1.30844221987064</v>
      </c>
      <c r="H92" s="90" t="n">
        <v>1.05</v>
      </c>
      <c r="I92" s="90" t="n">
        <v>1</v>
      </c>
      <c r="J92" s="90" t="n">
        <f aca="false">I92</f>
        <v>1</v>
      </c>
      <c r="K92" s="90" t="n">
        <f aca="false">J92</f>
        <v>1</v>
      </c>
      <c r="L92" s="90" t="n">
        <f aca="false">K92</f>
        <v>1</v>
      </c>
      <c r="M92" s="90" t="n">
        <f aca="false">L92</f>
        <v>1</v>
      </c>
      <c r="N92" s="90" t="n">
        <f aca="false">M92</f>
        <v>1</v>
      </c>
      <c r="O92" s="90" t="n">
        <f aca="false">N92</f>
        <v>1</v>
      </c>
      <c r="P92" s="90" t="n">
        <f aca="false">O92</f>
        <v>1</v>
      </c>
      <c r="Q92" s="90" t="n">
        <f aca="false">P92</f>
        <v>1</v>
      </c>
      <c r="R92" s="90" t="n">
        <f aca="false">Q92</f>
        <v>1</v>
      </c>
      <c r="S92" s="204"/>
    </row>
    <row r="93" customFormat="false" ht="12.75" hidden="true" customHeight="false" outlineLevel="1" collapsed="false">
      <c r="A93" s="524" t="s">
        <v>253</v>
      </c>
      <c r="C93" s="509"/>
      <c r="D93" s="522"/>
      <c r="E93" s="70" t="n">
        <f aca="false">E82/D82</f>
        <v>1.17079610073111</v>
      </c>
      <c r="F93" s="70" t="n">
        <f aca="false">F82/E82</f>
        <v>0.762272333044232</v>
      </c>
      <c r="G93" s="70" t="n">
        <f aca="false">G82/F82</f>
        <v>0.880077369439072</v>
      </c>
      <c r="H93" s="90" t="n">
        <v>0.95</v>
      </c>
      <c r="I93" s="90" t="n">
        <v>1</v>
      </c>
      <c r="J93" s="90" t="n">
        <f aca="false">I93</f>
        <v>1</v>
      </c>
      <c r="K93" s="90" t="n">
        <f aca="false">J93</f>
        <v>1</v>
      </c>
      <c r="L93" s="90" t="n">
        <f aca="false">K93</f>
        <v>1</v>
      </c>
      <c r="M93" s="90" t="n">
        <f aca="false">L93</f>
        <v>1</v>
      </c>
      <c r="N93" s="90" t="n">
        <f aca="false">M93</f>
        <v>1</v>
      </c>
      <c r="O93" s="90" t="n">
        <f aca="false">N93</f>
        <v>1</v>
      </c>
      <c r="P93" s="90" t="n">
        <f aca="false">O93</f>
        <v>1</v>
      </c>
      <c r="Q93" s="90" t="n">
        <f aca="false">P93</f>
        <v>1</v>
      </c>
      <c r="R93" s="90" t="n">
        <f aca="false">Q93</f>
        <v>1</v>
      </c>
      <c r="S93" s="204"/>
    </row>
    <row r="94" customFormat="false" ht="12.75" hidden="true" customHeight="false" outlineLevel="1" collapsed="false">
      <c r="S94" s="204"/>
    </row>
    <row r="95" customFormat="false" ht="15.75" hidden="false" customHeight="false" outlineLevel="0" collapsed="false">
      <c r="A95" s="284" t="s">
        <v>255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204"/>
    </row>
    <row r="96" customFormat="false" ht="12.75" hidden="false" customHeight="true" outlineLevel="0" collapsed="false">
      <c r="A96" s="288"/>
      <c r="B96" s="204"/>
      <c r="C96" s="204"/>
      <c r="D96" s="204"/>
      <c r="E96" s="292"/>
      <c r="F96" s="292"/>
      <c r="G96" s="293"/>
      <c r="H96" s="294" t="s">
        <v>156</v>
      </c>
      <c r="I96" s="295"/>
      <c r="J96" s="293"/>
      <c r="K96" s="293"/>
      <c r="L96" s="296"/>
      <c r="M96" s="293"/>
      <c r="N96" s="296"/>
      <c r="O96" s="296"/>
      <c r="P96" s="296"/>
      <c r="Q96" s="296"/>
      <c r="R96" s="75"/>
      <c r="S96" s="204"/>
    </row>
    <row r="97" customFormat="false" ht="12.75" hidden="false" customHeight="true" outlineLevel="0" collapsed="false">
      <c r="A97" s="288"/>
      <c r="B97" s="204"/>
      <c r="C97" s="204"/>
      <c r="D97" s="452" t="n">
        <v>1997</v>
      </c>
      <c r="E97" s="297" t="n">
        <v>1998</v>
      </c>
      <c r="F97" s="297" t="n">
        <v>1999</v>
      </c>
      <c r="G97" s="297" t="n">
        <v>2000</v>
      </c>
      <c r="H97" s="297" t="n">
        <v>2001</v>
      </c>
      <c r="I97" s="298" t="n">
        <v>2002</v>
      </c>
      <c r="J97" s="298" t="n">
        <v>2003</v>
      </c>
      <c r="K97" s="298" t="n">
        <v>2004</v>
      </c>
      <c r="L97" s="298" t="n">
        <v>2005</v>
      </c>
      <c r="M97" s="298" t="n">
        <v>2006</v>
      </c>
      <c r="N97" s="299" t="n">
        <v>2007</v>
      </c>
      <c r="O97" s="299" t="n">
        <v>2008</v>
      </c>
      <c r="P97" s="299" t="n">
        <v>2009</v>
      </c>
      <c r="Q97" s="299" t="n">
        <v>2010</v>
      </c>
      <c r="R97" s="300" t="n">
        <v>2011</v>
      </c>
      <c r="S97" s="204"/>
    </row>
    <row r="98" customFormat="false" ht="12.75" hidden="false" customHeight="true" outlineLevel="0" collapsed="false">
      <c r="A98" s="288"/>
      <c r="B98" s="304" t="s">
        <v>159</v>
      </c>
      <c r="C98" s="204"/>
      <c r="D98" s="204"/>
      <c r="G98" s="526" t="s">
        <v>157</v>
      </c>
      <c r="H98" s="297" t="n">
        <v>1</v>
      </c>
      <c r="I98" s="298" t="n">
        <v>2</v>
      </c>
      <c r="J98" s="298" t="n">
        <v>3</v>
      </c>
      <c r="K98" s="298" t="n">
        <v>4</v>
      </c>
      <c r="L98" s="298" t="n">
        <v>5</v>
      </c>
      <c r="M98" s="298" t="n">
        <v>6</v>
      </c>
      <c r="N98" s="298" t="n">
        <v>7</v>
      </c>
      <c r="O98" s="298" t="n">
        <v>8</v>
      </c>
      <c r="P98" s="298" t="n">
        <v>9</v>
      </c>
      <c r="Q98" s="298" t="n">
        <v>10</v>
      </c>
      <c r="R98" s="302" t="n">
        <v>11</v>
      </c>
      <c r="S98" s="204"/>
    </row>
    <row r="99" customFormat="false" ht="12.75" hidden="false" customHeight="false" outlineLevel="0" collapsed="false">
      <c r="A99" s="386" t="s">
        <v>256</v>
      </c>
      <c r="B99" s="510" t="n">
        <v>0</v>
      </c>
      <c r="D99" s="511"/>
      <c r="E99" s="511"/>
      <c r="F99" s="511"/>
      <c r="G99" s="511"/>
      <c r="H99" s="158" t="n">
        <f aca="false">$B$99*555</f>
        <v>0</v>
      </c>
      <c r="I99" s="158" t="n">
        <f aca="false">$B$99*555</f>
        <v>0</v>
      </c>
      <c r="J99" s="158" t="n">
        <f aca="false">$B$99*355</f>
        <v>0</v>
      </c>
      <c r="K99" s="158" t="n">
        <f aca="false">J99*K110</f>
        <v>0</v>
      </c>
      <c r="L99" s="158" t="n">
        <f aca="false">K99*L110</f>
        <v>0</v>
      </c>
      <c r="M99" s="184" t="n">
        <f aca="false">L99*M110</f>
        <v>0</v>
      </c>
      <c r="N99" s="184" t="n">
        <f aca="false">M99*N110</f>
        <v>0</v>
      </c>
      <c r="O99" s="184" t="n">
        <f aca="false">N99*O110</f>
        <v>0</v>
      </c>
      <c r="P99" s="184" t="n">
        <f aca="false">O99*P110</f>
        <v>0</v>
      </c>
      <c r="Q99" s="184" t="n">
        <f aca="false">P99*Q110</f>
        <v>0</v>
      </c>
      <c r="R99" s="184" t="n">
        <f aca="false">Q99*R110</f>
        <v>0</v>
      </c>
      <c r="S99" s="204"/>
    </row>
    <row r="100" customFormat="false" ht="12.75" hidden="false" customHeight="false" outlineLevel="0" collapsed="false">
      <c r="A100" s="386" t="s">
        <v>257</v>
      </c>
      <c r="B100" s="510" t="n">
        <v>0</v>
      </c>
      <c r="D100" s="511"/>
      <c r="E100" s="511"/>
      <c r="F100" s="511"/>
      <c r="G100" s="511"/>
      <c r="H100" s="158" t="n">
        <f aca="false">$B$100*145</f>
        <v>0</v>
      </c>
      <c r="I100" s="158" t="n">
        <f aca="false">$B$100*145</f>
        <v>0</v>
      </c>
      <c r="J100" s="158" t="n">
        <f aca="false">$B$100*135</f>
        <v>0</v>
      </c>
      <c r="K100" s="158" t="n">
        <f aca="false">J100*K111</f>
        <v>0</v>
      </c>
      <c r="L100" s="158" t="n">
        <f aca="false">K100*L111</f>
        <v>0</v>
      </c>
      <c r="M100" s="184" t="n">
        <f aca="false">L100*M111</f>
        <v>0</v>
      </c>
      <c r="N100" s="184" t="n">
        <f aca="false">M100*N111</f>
        <v>0</v>
      </c>
      <c r="O100" s="184" t="n">
        <f aca="false">N100*O111</f>
        <v>0</v>
      </c>
      <c r="P100" s="184" t="n">
        <f aca="false">O100*P111</f>
        <v>0</v>
      </c>
      <c r="Q100" s="184" t="n">
        <f aca="false">P100*Q111</f>
        <v>0</v>
      </c>
      <c r="R100" s="184" t="n">
        <f aca="false">Q100*R111</f>
        <v>0</v>
      </c>
      <c r="S100" s="204"/>
    </row>
    <row r="101" customFormat="false" ht="12.75" hidden="false" customHeight="false" outlineLevel="0" collapsed="false">
      <c r="A101" s="386" t="s">
        <v>258</v>
      </c>
      <c r="B101" s="510" t="n">
        <v>1</v>
      </c>
      <c r="D101" s="511" t="n">
        <v>10111.6</v>
      </c>
      <c r="E101" s="511" t="n">
        <v>103.386</v>
      </c>
      <c r="F101" s="527" t="n">
        <v>154</v>
      </c>
      <c r="G101" s="527" t="n">
        <v>163.9</v>
      </c>
      <c r="H101" s="158" t="n">
        <f aca="false">G101*H112</f>
        <v>140.083887283868</v>
      </c>
      <c r="I101" s="158" t="n">
        <f aca="false">H101*I112</f>
        <v>140.083887283868</v>
      </c>
      <c r="J101" s="158" t="n">
        <f aca="false">I101*J112</f>
        <v>140.083887283868</v>
      </c>
      <c r="K101" s="158" t="n">
        <f aca="false">J101*K112</f>
        <v>140.083887283868</v>
      </c>
      <c r="L101" s="158" t="n">
        <f aca="false">K101*L112</f>
        <v>140.083887283868</v>
      </c>
      <c r="M101" s="158" t="n">
        <f aca="false">L101*M112</f>
        <v>140.083887283868</v>
      </c>
      <c r="N101" s="158" t="n">
        <f aca="false">M101*N112</f>
        <v>140.083887283868</v>
      </c>
      <c r="O101" s="158" t="n">
        <f aca="false">N101*O112</f>
        <v>140.083887283868</v>
      </c>
      <c r="P101" s="158" t="n">
        <f aca="false">O101*P112</f>
        <v>140.083887283868</v>
      </c>
      <c r="Q101" s="158" t="n">
        <f aca="false">P101*Q112</f>
        <v>140.083887283868</v>
      </c>
      <c r="R101" s="158" t="n">
        <f aca="false">Q101*R112</f>
        <v>140.083887283868</v>
      </c>
      <c r="S101" s="204"/>
    </row>
    <row r="102" customFormat="false" ht="12.75" hidden="false" customHeight="false" outlineLevel="0" collapsed="false">
      <c r="A102" s="386" t="s">
        <v>259</v>
      </c>
      <c r="B102" s="510" t="n">
        <v>1</v>
      </c>
      <c r="D102" s="511"/>
      <c r="E102" s="511"/>
      <c r="F102" s="527"/>
      <c r="G102" s="527"/>
      <c r="H102" s="158" t="n">
        <f aca="false">G102*H113</f>
        <v>0</v>
      </c>
      <c r="I102" s="158" t="n">
        <f aca="false">H102*I113</f>
        <v>0</v>
      </c>
      <c r="J102" s="158" t="n">
        <f aca="false">I102*J113</f>
        <v>0</v>
      </c>
      <c r="K102" s="158" t="n">
        <f aca="false">J102*K113</f>
        <v>0</v>
      </c>
      <c r="L102" s="158" t="n">
        <f aca="false">K102*L113</f>
        <v>0</v>
      </c>
      <c r="M102" s="158" t="n">
        <f aca="false">L102*M113</f>
        <v>0</v>
      </c>
      <c r="N102" s="158" t="n">
        <f aca="false">M102*N113</f>
        <v>0</v>
      </c>
      <c r="O102" s="158" t="n">
        <f aca="false">N102*O113</f>
        <v>0</v>
      </c>
      <c r="P102" s="158" t="n">
        <f aca="false">O102*P113</f>
        <v>0</v>
      </c>
      <c r="Q102" s="158" t="n">
        <f aca="false">P102*Q113</f>
        <v>0</v>
      </c>
      <c r="R102" s="158" t="n">
        <f aca="false">Q102*R113</f>
        <v>0</v>
      </c>
      <c r="S102" s="204"/>
    </row>
    <row r="103" customFormat="false" ht="12.75" hidden="false" customHeight="false" outlineLevel="0" collapsed="false">
      <c r="A103" s="437" t="s">
        <v>260</v>
      </c>
      <c r="B103" s="510" t="n">
        <v>0</v>
      </c>
      <c r="D103" s="511"/>
      <c r="E103" s="511"/>
      <c r="F103" s="527"/>
      <c r="G103" s="527"/>
      <c r="H103" s="158" t="n">
        <f aca="false">G103*H114</f>
        <v>0</v>
      </c>
      <c r="I103" s="158" t="n">
        <f aca="false">H103*I114</f>
        <v>0</v>
      </c>
      <c r="J103" s="158" t="n">
        <f aca="false">I103*J114</f>
        <v>0</v>
      </c>
      <c r="K103" s="158" t="n">
        <f aca="false">J103*K114</f>
        <v>0</v>
      </c>
      <c r="L103" s="158" t="n">
        <f aca="false">K103*L114</f>
        <v>0</v>
      </c>
      <c r="M103" s="158" t="n">
        <f aca="false">L103*M114</f>
        <v>0</v>
      </c>
      <c r="N103" s="158" t="n">
        <f aca="false">M103*N114</f>
        <v>0</v>
      </c>
      <c r="O103" s="158" t="n">
        <f aca="false">N103*O114</f>
        <v>0</v>
      </c>
      <c r="P103" s="158" t="n">
        <f aca="false">O103*P114</f>
        <v>0</v>
      </c>
      <c r="Q103" s="158" t="n">
        <f aca="false">P103*Q114</f>
        <v>0</v>
      </c>
      <c r="R103" s="158" t="n">
        <f aca="false">Q103*R114</f>
        <v>0</v>
      </c>
      <c r="S103" s="204"/>
    </row>
    <row r="104" customFormat="false" ht="12.75" hidden="false" customHeight="false" outlineLevel="0" collapsed="false">
      <c r="A104" s="386" t="s">
        <v>261</v>
      </c>
      <c r="B104" s="510" t="n">
        <v>1</v>
      </c>
      <c r="D104" s="511"/>
      <c r="E104" s="511"/>
      <c r="F104" s="511"/>
      <c r="G104" s="511"/>
      <c r="H104" s="158" t="n">
        <f aca="false">G104*H115</f>
        <v>0</v>
      </c>
      <c r="I104" s="158" t="n">
        <f aca="false">H104*I115</f>
        <v>0</v>
      </c>
      <c r="J104" s="158" t="n">
        <f aca="false">I104*J115</f>
        <v>0</v>
      </c>
      <c r="K104" s="158" t="n">
        <f aca="false">J104*K115</f>
        <v>0</v>
      </c>
      <c r="L104" s="158" t="n">
        <f aca="false">K104*L115</f>
        <v>0</v>
      </c>
      <c r="M104" s="158" t="n">
        <f aca="false">L104*M115</f>
        <v>0</v>
      </c>
      <c r="N104" s="158" t="n">
        <f aca="false">M104*N115</f>
        <v>0</v>
      </c>
      <c r="O104" s="158" t="n">
        <f aca="false">N104*O115</f>
        <v>0</v>
      </c>
      <c r="P104" s="158" t="n">
        <f aca="false">O104*P115</f>
        <v>0</v>
      </c>
      <c r="Q104" s="158" t="n">
        <f aca="false">P104*Q115</f>
        <v>0</v>
      </c>
      <c r="R104" s="158" t="n">
        <f aca="false">Q104*R115</f>
        <v>0</v>
      </c>
      <c r="S104" s="204"/>
    </row>
    <row r="105" customFormat="false" ht="12.75" hidden="false" customHeight="false" outlineLevel="0" collapsed="false">
      <c r="A105" s="386" t="s">
        <v>239</v>
      </c>
      <c r="B105" s="510" t="n">
        <v>0</v>
      </c>
      <c r="D105" s="511"/>
      <c r="E105" s="511"/>
      <c r="F105" s="511"/>
      <c r="G105" s="511"/>
      <c r="H105" s="158" t="n">
        <f aca="false">$B$105*60</f>
        <v>0</v>
      </c>
      <c r="I105" s="158" t="n">
        <f aca="false">$B$105*5</f>
        <v>0</v>
      </c>
      <c r="J105" s="158" t="n">
        <f aca="false">$B$105*5</f>
        <v>0</v>
      </c>
      <c r="K105" s="158" t="n">
        <f aca="false">J105*K116</f>
        <v>0</v>
      </c>
      <c r="L105" s="158" t="n">
        <f aca="false">K105*L116</f>
        <v>0</v>
      </c>
      <c r="M105" s="184" t="n">
        <f aca="false">L105*M116</f>
        <v>0</v>
      </c>
      <c r="N105" s="184" t="n">
        <f aca="false">M105*N116</f>
        <v>0</v>
      </c>
      <c r="O105" s="184" t="n">
        <f aca="false">N105*O116</f>
        <v>0</v>
      </c>
      <c r="P105" s="184" t="n">
        <f aca="false">O105*P116</f>
        <v>0</v>
      </c>
      <c r="Q105" s="184" t="n">
        <f aca="false">P105*Q116</f>
        <v>0</v>
      </c>
      <c r="R105" s="184" t="n">
        <f aca="false">Q105*R116</f>
        <v>0</v>
      </c>
      <c r="S105" s="204"/>
    </row>
    <row r="106" customFormat="false" ht="12.75" hidden="false" customHeight="false" outlineLevel="0" collapsed="false">
      <c r="A106" s="524" t="s">
        <v>240</v>
      </c>
      <c r="B106" s="103" t="n">
        <v>0</v>
      </c>
      <c r="C106" s="75"/>
      <c r="D106" s="515"/>
      <c r="E106" s="515"/>
      <c r="F106" s="515"/>
      <c r="G106" s="515"/>
      <c r="H106" s="167" t="n">
        <f aca="false">$B$106*30</f>
        <v>0</v>
      </c>
      <c r="I106" s="167" t="n">
        <f aca="false">$B$106*25</f>
        <v>0</v>
      </c>
      <c r="J106" s="167" t="n">
        <f aca="false">$B$106*5</f>
        <v>0</v>
      </c>
      <c r="K106" s="167" t="n">
        <f aca="false">J106*K117</f>
        <v>0</v>
      </c>
      <c r="L106" s="167" t="n">
        <f aca="false">K106*L117</f>
        <v>0</v>
      </c>
      <c r="M106" s="193" t="n">
        <f aca="false">L106*M117</f>
        <v>0</v>
      </c>
      <c r="N106" s="193" t="n">
        <f aca="false">M106*N117</f>
        <v>0</v>
      </c>
      <c r="O106" s="193" t="n">
        <f aca="false">N106*O117</f>
        <v>0</v>
      </c>
      <c r="P106" s="193" t="n">
        <f aca="false">O106*P117</f>
        <v>0</v>
      </c>
      <c r="Q106" s="193" t="n">
        <f aca="false">P106*Q117</f>
        <v>0</v>
      </c>
      <c r="R106" s="193" t="n">
        <f aca="false">Q106*R117</f>
        <v>0</v>
      </c>
      <c r="S106" s="204"/>
    </row>
    <row r="107" customFormat="false" ht="12.75" hidden="false" customHeight="false" outlineLevel="0" collapsed="false">
      <c r="A107" s="528" t="s">
        <v>262</v>
      </c>
      <c r="D107" s="457" t="n">
        <f aca="false">SUM(D99:D106)</f>
        <v>10111.6</v>
      </c>
      <c r="E107" s="457" t="n">
        <f aca="false">SUM(E99:E106)</f>
        <v>103.386</v>
      </c>
      <c r="F107" s="457" t="n">
        <f aca="false">SUM(F99:F106)</f>
        <v>154</v>
      </c>
      <c r="G107" s="457" t="n">
        <f aca="false">SUM(G99:G106)</f>
        <v>163.9</v>
      </c>
      <c r="H107" s="176" t="n">
        <f aca="false">SUM(H99:H106)</f>
        <v>140.083887283868</v>
      </c>
      <c r="I107" s="176" t="n">
        <f aca="false">SUM(I99:I106)</f>
        <v>140.083887283868</v>
      </c>
      <c r="J107" s="176" t="n">
        <f aca="false">SUM(J99:J106)</f>
        <v>140.083887283868</v>
      </c>
      <c r="K107" s="176" t="n">
        <f aca="false">SUM(K99:K106)</f>
        <v>140.083887283868</v>
      </c>
      <c r="L107" s="176" t="n">
        <f aca="false">SUM(L99:L106)</f>
        <v>140.083887283868</v>
      </c>
      <c r="M107" s="176" t="n">
        <f aca="false">SUM(M99:M106)</f>
        <v>140.083887283868</v>
      </c>
      <c r="N107" s="176" t="n">
        <f aca="false">SUM(N99:N106)</f>
        <v>140.083887283868</v>
      </c>
      <c r="O107" s="176" t="n">
        <f aca="false">SUM(O99:O106)</f>
        <v>140.083887283868</v>
      </c>
      <c r="P107" s="176" t="n">
        <f aca="false">SUM(P99:P106)</f>
        <v>140.083887283868</v>
      </c>
      <c r="Q107" s="176" t="n">
        <f aca="false">SUM(Q99:Q106)</f>
        <v>140.083887283868</v>
      </c>
      <c r="R107" s="176" t="n">
        <f aca="false">SUM(R99:R106)</f>
        <v>140.083887283868</v>
      </c>
      <c r="S107" s="204"/>
    </row>
    <row r="108" customFormat="false" ht="12.75" hidden="false" customHeight="false" outlineLevel="0" collapsed="false">
      <c r="A108" s="528"/>
      <c r="E108" s="529"/>
      <c r="F108" s="529"/>
      <c r="G108" s="529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204"/>
    </row>
    <row r="109" customFormat="false" ht="15.75" hidden="true" customHeight="false" outlineLevel="1" collapsed="false">
      <c r="A109" s="517" t="s">
        <v>242</v>
      </c>
      <c r="B109" s="85"/>
      <c r="C109" s="518"/>
      <c r="D109" s="518"/>
      <c r="E109" s="519"/>
      <c r="F109" s="85"/>
      <c r="G109" s="520"/>
      <c r="H109" s="521"/>
      <c r="I109" s="521"/>
      <c r="J109" s="521"/>
      <c r="K109" s="521"/>
      <c r="L109" s="521"/>
      <c r="M109" s="521"/>
      <c r="N109" s="521"/>
      <c r="O109" s="521"/>
      <c r="P109" s="521"/>
      <c r="Q109" s="521"/>
      <c r="R109" s="521"/>
      <c r="S109" s="290"/>
    </row>
    <row r="110" customFormat="false" ht="12.75" hidden="true" customHeight="false" outlineLevel="1" collapsed="false">
      <c r="A110" s="386" t="s">
        <v>256</v>
      </c>
      <c r="C110" s="509"/>
      <c r="D110" s="509"/>
      <c r="E110" s="516"/>
      <c r="G110" s="340"/>
      <c r="H110" s="90" t="n">
        <v>1.01</v>
      </c>
      <c r="I110" s="90" t="n">
        <v>1.01</v>
      </c>
      <c r="J110" s="90" t="n">
        <v>1.01</v>
      </c>
      <c r="K110" s="90" t="n">
        <v>1.01</v>
      </c>
      <c r="L110" s="90" t="n">
        <v>1.01</v>
      </c>
      <c r="M110" s="90" t="n">
        <v>1.01</v>
      </c>
      <c r="N110" s="90" t="n">
        <v>1.01</v>
      </c>
      <c r="O110" s="90" t="n">
        <v>1.01</v>
      </c>
      <c r="P110" s="90" t="n">
        <v>1.01</v>
      </c>
      <c r="Q110" s="90" t="n">
        <v>1.01</v>
      </c>
      <c r="R110" s="90" t="n">
        <v>1.01</v>
      </c>
      <c r="S110" s="204"/>
    </row>
    <row r="111" customFormat="false" ht="12.75" hidden="true" customHeight="false" outlineLevel="1" collapsed="false">
      <c r="A111" s="386" t="s">
        <v>257</v>
      </c>
      <c r="C111" s="509"/>
      <c r="D111" s="509"/>
      <c r="E111" s="516"/>
      <c r="G111" s="340"/>
      <c r="H111" s="90" t="n">
        <v>1.02</v>
      </c>
      <c r="I111" s="90" t="n">
        <v>1.02</v>
      </c>
      <c r="J111" s="90" t="n">
        <v>1.02</v>
      </c>
      <c r="K111" s="90" t="n">
        <v>1.02</v>
      </c>
      <c r="L111" s="90" t="n">
        <v>1.02</v>
      </c>
      <c r="M111" s="90" t="n">
        <v>1.02</v>
      </c>
      <c r="N111" s="90" t="n">
        <v>1.02</v>
      </c>
      <c r="O111" s="90" t="n">
        <v>1.02</v>
      </c>
      <c r="P111" s="90" t="n">
        <v>1.02</v>
      </c>
      <c r="Q111" s="90" t="n">
        <v>1.02</v>
      </c>
      <c r="R111" s="90" t="n">
        <v>1.02</v>
      </c>
      <c r="S111" s="204"/>
    </row>
    <row r="112" customFormat="false" ht="12.75" hidden="true" customHeight="false" outlineLevel="1" collapsed="false">
      <c r="A112" s="437" t="s">
        <v>258</v>
      </c>
      <c r="C112" s="509"/>
      <c r="D112" s="509"/>
      <c r="E112" s="70" t="n">
        <f aca="false">E101/D101</f>
        <v>0.0102244946398196</v>
      </c>
      <c r="F112" s="70" t="n">
        <f aca="false">F101/E101</f>
        <v>1.48956338382373</v>
      </c>
      <c r="G112" s="70" t="n">
        <f aca="false">G101/F101</f>
        <v>1.06428571428571</v>
      </c>
      <c r="H112" s="100" t="n">
        <f aca="false">AVERAGE(E112:G112)</f>
        <v>0.854691197583088</v>
      </c>
      <c r="I112" s="90" t="n">
        <v>1</v>
      </c>
      <c r="J112" s="90" t="n">
        <f aca="false">I112</f>
        <v>1</v>
      </c>
      <c r="K112" s="90" t="n">
        <f aca="false">J112</f>
        <v>1</v>
      </c>
      <c r="L112" s="90" t="n">
        <f aca="false">K112</f>
        <v>1</v>
      </c>
      <c r="M112" s="90" t="n">
        <v>1</v>
      </c>
      <c r="N112" s="90" t="n">
        <f aca="false">M112</f>
        <v>1</v>
      </c>
      <c r="O112" s="90" t="n">
        <f aca="false">N112</f>
        <v>1</v>
      </c>
      <c r="P112" s="90" t="n">
        <f aca="false">O112</f>
        <v>1</v>
      </c>
      <c r="Q112" s="90" t="n">
        <f aca="false">P112</f>
        <v>1</v>
      </c>
      <c r="R112" s="90" t="n">
        <f aca="false">Q112</f>
        <v>1</v>
      </c>
      <c r="S112" s="204"/>
    </row>
    <row r="113" customFormat="false" ht="12.75" hidden="true" customHeight="false" outlineLevel="1" collapsed="false">
      <c r="A113" s="386" t="s">
        <v>259</v>
      </c>
      <c r="C113" s="509"/>
      <c r="D113" s="509"/>
      <c r="E113" s="70"/>
      <c r="F113" s="70"/>
      <c r="G113" s="70"/>
      <c r="H113" s="90" t="n">
        <v>0.8</v>
      </c>
      <c r="I113" s="90" t="n">
        <v>1</v>
      </c>
      <c r="J113" s="90" t="n">
        <f aca="false">I113</f>
        <v>1</v>
      </c>
      <c r="K113" s="90" t="n">
        <f aca="false">J113</f>
        <v>1</v>
      </c>
      <c r="L113" s="90" t="n">
        <f aca="false">K113</f>
        <v>1</v>
      </c>
      <c r="M113" s="90" t="n">
        <f aca="false">L113</f>
        <v>1</v>
      </c>
      <c r="N113" s="90" t="n">
        <f aca="false">M113</f>
        <v>1</v>
      </c>
      <c r="O113" s="90" t="n">
        <f aca="false">N113</f>
        <v>1</v>
      </c>
      <c r="P113" s="90" t="n">
        <f aca="false">O113</f>
        <v>1</v>
      </c>
      <c r="Q113" s="90" t="n">
        <f aca="false">P113</f>
        <v>1</v>
      </c>
      <c r="R113" s="90" t="n">
        <f aca="false">Q113</f>
        <v>1</v>
      </c>
      <c r="S113" s="204"/>
    </row>
    <row r="114" customFormat="false" ht="12.75" hidden="true" customHeight="false" outlineLevel="1" collapsed="false">
      <c r="A114" s="386" t="s">
        <v>260</v>
      </c>
      <c r="C114" s="509"/>
      <c r="D114" s="509"/>
      <c r="E114" s="70"/>
      <c r="F114" s="70"/>
      <c r="G114" s="70"/>
      <c r="H114" s="90" t="n">
        <v>0</v>
      </c>
      <c r="I114" s="90" t="n">
        <v>0</v>
      </c>
      <c r="J114" s="90" t="n">
        <v>0</v>
      </c>
      <c r="K114" s="90" t="n">
        <v>0</v>
      </c>
      <c r="L114" s="90" t="n">
        <v>0</v>
      </c>
      <c r="M114" s="90" t="n">
        <v>0</v>
      </c>
      <c r="N114" s="90" t="n">
        <v>0</v>
      </c>
      <c r="O114" s="90" t="n">
        <v>0</v>
      </c>
      <c r="P114" s="90" t="n">
        <v>0</v>
      </c>
      <c r="Q114" s="90" t="n">
        <v>0</v>
      </c>
      <c r="R114" s="90" t="n">
        <v>0</v>
      </c>
      <c r="S114" s="204"/>
    </row>
    <row r="115" customFormat="false" ht="12.75" hidden="true" customHeight="false" outlineLevel="1" collapsed="false">
      <c r="A115" s="386" t="s">
        <v>261</v>
      </c>
      <c r="C115" s="509"/>
      <c r="D115" s="509"/>
      <c r="E115" s="70"/>
      <c r="F115" s="70"/>
      <c r="G115" s="70"/>
      <c r="H115" s="90" t="n">
        <v>0.33</v>
      </c>
      <c r="I115" s="90" t="n">
        <f aca="false">H115</f>
        <v>0.33</v>
      </c>
      <c r="J115" s="90" t="n">
        <f aca="false">I115</f>
        <v>0.33</v>
      </c>
      <c r="K115" s="90" t="n">
        <v>0</v>
      </c>
      <c r="L115" s="90" t="n">
        <f aca="false">K115</f>
        <v>0</v>
      </c>
      <c r="M115" s="90" t="n">
        <f aca="false">L115</f>
        <v>0</v>
      </c>
      <c r="N115" s="90" t="n">
        <f aca="false">M115</f>
        <v>0</v>
      </c>
      <c r="O115" s="90" t="n">
        <f aca="false">N115</f>
        <v>0</v>
      </c>
      <c r="P115" s="90" t="n">
        <f aca="false">O115</f>
        <v>0</v>
      </c>
      <c r="Q115" s="90" t="n">
        <f aca="false">P115</f>
        <v>0</v>
      </c>
      <c r="R115" s="90" t="n">
        <f aca="false">Q115</f>
        <v>0</v>
      </c>
      <c r="S115" s="204"/>
    </row>
    <row r="116" customFormat="false" ht="12.75" hidden="true" customHeight="false" outlineLevel="1" collapsed="false">
      <c r="A116" s="386" t="s">
        <v>239</v>
      </c>
      <c r="C116" s="509"/>
      <c r="D116" s="509"/>
      <c r="E116" s="516"/>
      <c r="G116" s="340"/>
      <c r="H116" s="90" t="n">
        <v>1.01</v>
      </c>
      <c r="I116" s="90" t="n">
        <v>1.01</v>
      </c>
      <c r="J116" s="90" t="n">
        <v>1.01</v>
      </c>
      <c r="K116" s="90" t="n">
        <v>1.01</v>
      </c>
      <c r="L116" s="90" t="n">
        <v>1.01</v>
      </c>
      <c r="M116" s="90" t="n">
        <v>1.01</v>
      </c>
      <c r="N116" s="90" t="n">
        <v>1.01</v>
      </c>
      <c r="O116" s="90" t="n">
        <v>1.01</v>
      </c>
      <c r="P116" s="90" t="n">
        <v>1.01</v>
      </c>
      <c r="Q116" s="90" t="n">
        <v>1.01</v>
      </c>
      <c r="R116" s="90" t="n">
        <v>1.01</v>
      </c>
      <c r="S116" s="204"/>
    </row>
    <row r="117" customFormat="false" ht="12.75" hidden="true" customHeight="false" outlineLevel="1" collapsed="false">
      <c r="A117" s="25" t="s">
        <v>240</v>
      </c>
      <c r="C117" s="509"/>
      <c r="D117" s="509"/>
      <c r="E117" s="516"/>
      <c r="G117" s="340"/>
      <c r="H117" s="90" t="n">
        <v>1.01</v>
      </c>
      <c r="I117" s="90" t="n">
        <v>1.01</v>
      </c>
      <c r="J117" s="90" t="n">
        <v>1.01</v>
      </c>
      <c r="K117" s="90" t="n">
        <v>1.01</v>
      </c>
      <c r="L117" s="90" t="n">
        <v>1.01</v>
      </c>
      <c r="M117" s="90" t="n">
        <v>1.01</v>
      </c>
      <c r="N117" s="90" t="n">
        <v>1.01</v>
      </c>
      <c r="O117" s="90" t="n">
        <v>1.01</v>
      </c>
      <c r="P117" s="90" t="n">
        <v>1.01</v>
      </c>
      <c r="Q117" s="90" t="n">
        <v>1.01</v>
      </c>
      <c r="R117" s="90" t="n">
        <v>1.01</v>
      </c>
      <c r="S117" s="204"/>
    </row>
    <row r="118" customFormat="false" ht="12.75" hidden="true" customHeight="false" outlineLevel="1" collapsed="false">
      <c r="A118" s="528"/>
      <c r="E118" s="529"/>
      <c r="F118" s="529"/>
      <c r="G118" s="529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204"/>
    </row>
    <row r="119" customFormat="false" ht="12.75" hidden="true" customHeight="false" outlineLevel="1" collapsed="false">
      <c r="A119" s="308"/>
      <c r="S119" s="204"/>
    </row>
    <row r="120" customFormat="false" ht="12.75" hidden="false" customHeight="false" outlineLevel="0" collapsed="false">
      <c r="A120" s="308"/>
      <c r="S120" s="204"/>
    </row>
    <row r="121" customFormat="false" ht="15.75" hidden="false" customHeight="false" outlineLevel="0" collapsed="false">
      <c r="A121" s="284" t="s">
        <v>263</v>
      </c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204"/>
    </row>
    <row r="122" customFormat="false" ht="12.75" hidden="false" customHeight="false" outlineLevel="0" collapsed="false">
      <c r="E122" s="292"/>
      <c r="F122" s="292"/>
      <c r="G122" s="293"/>
      <c r="H122" s="294" t="s">
        <v>156</v>
      </c>
      <c r="I122" s="295"/>
      <c r="J122" s="293"/>
      <c r="K122" s="293"/>
      <c r="L122" s="296"/>
      <c r="M122" s="293"/>
      <c r="N122" s="296"/>
      <c r="O122" s="296"/>
      <c r="P122" s="296"/>
      <c r="Q122" s="296"/>
      <c r="R122" s="75"/>
    </row>
    <row r="123" customFormat="false" ht="12.75" hidden="false" customHeight="false" outlineLevel="0" collapsed="false">
      <c r="D123" s="452" t="n">
        <v>1997</v>
      </c>
      <c r="E123" s="297" t="n">
        <v>1998</v>
      </c>
      <c r="F123" s="297" t="n">
        <v>1999</v>
      </c>
      <c r="G123" s="297" t="n">
        <v>2000</v>
      </c>
      <c r="H123" s="297" t="n">
        <v>2001</v>
      </c>
      <c r="I123" s="298" t="n">
        <v>2002</v>
      </c>
      <c r="J123" s="298" t="n">
        <v>2003</v>
      </c>
      <c r="K123" s="298" t="n">
        <v>2004</v>
      </c>
      <c r="L123" s="298" t="n">
        <v>2005</v>
      </c>
      <c r="M123" s="298" t="n">
        <v>2006</v>
      </c>
      <c r="N123" s="299" t="n">
        <v>2007</v>
      </c>
      <c r="O123" s="299" t="n">
        <v>2008</v>
      </c>
      <c r="P123" s="299" t="n">
        <v>2009</v>
      </c>
      <c r="Q123" s="299" t="n">
        <v>2010</v>
      </c>
      <c r="R123" s="300" t="n">
        <v>2011</v>
      </c>
    </row>
    <row r="124" customFormat="false" ht="12.75" hidden="false" customHeight="false" outlineLevel="0" collapsed="false">
      <c r="G124" s="526" t="s">
        <v>157</v>
      </c>
      <c r="H124" s="297" t="n">
        <v>1</v>
      </c>
      <c r="I124" s="298" t="n">
        <v>2</v>
      </c>
      <c r="J124" s="298" t="n">
        <v>3</v>
      </c>
      <c r="K124" s="298" t="n">
        <v>4</v>
      </c>
      <c r="L124" s="298" t="n">
        <v>5</v>
      </c>
      <c r="M124" s="298" t="n">
        <v>6</v>
      </c>
      <c r="N124" s="298" t="n">
        <v>7</v>
      </c>
      <c r="O124" s="298" t="n">
        <v>8</v>
      </c>
      <c r="P124" s="298" t="n">
        <v>9</v>
      </c>
      <c r="Q124" s="298" t="n">
        <v>10</v>
      </c>
      <c r="R124" s="302" t="n">
        <v>11</v>
      </c>
    </row>
    <row r="125" customFormat="false" ht="12.75" hidden="false" customHeight="false" outlineLevel="0" collapsed="false">
      <c r="A125" s="475" t="s">
        <v>264</v>
      </c>
      <c r="B125" s="146"/>
      <c r="C125" s="487" t="n">
        <v>283913.281</v>
      </c>
      <c r="D125" s="310"/>
      <c r="E125" s="470"/>
      <c r="F125" s="470"/>
      <c r="G125" s="310"/>
      <c r="H125" s="546" t="n">
        <v>0.036</v>
      </c>
      <c r="I125" s="531" t="n">
        <f aca="false">H125</f>
        <v>0.036</v>
      </c>
      <c r="J125" s="531" t="n">
        <f aca="false">I125</f>
        <v>0.036</v>
      </c>
      <c r="K125" s="531" t="n">
        <f aca="false">J125</f>
        <v>0.036</v>
      </c>
      <c r="L125" s="531" t="n">
        <f aca="false">K125</f>
        <v>0.036</v>
      </c>
      <c r="M125" s="531" t="n">
        <f aca="false">L125</f>
        <v>0.036</v>
      </c>
      <c r="N125" s="531" t="n">
        <f aca="false">M125</f>
        <v>0.036</v>
      </c>
      <c r="O125" s="531" t="n">
        <f aca="false">N125</f>
        <v>0.036</v>
      </c>
      <c r="P125" s="531" t="n">
        <f aca="false">O125</f>
        <v>0.036</v>
      </c>
      <c r="Q125" s="531" t="n">
        <f aca="false">P125</f>
        <v>0.036</v>
      </c>
      <c r="R125" s="532" t="n">
        <f aca="false">Q125</f>
        <v>0.036</v>
      </c>
      <c r="S125" s="532" t="n">
        <f aca="false">R125</f>
        <v>0.036</v>
      </c>
    </row>
    <row r="126" customFormat="false" ht="12.75" hidden="false" customHeight="false" outlineLevel="0" collapsed="false">
      <c r="A126" s="187" t="s">
        <v>265</v>
      </c>
      <c r="C126" s="533"/>
      <c r="D126" s="534"/>
      <c r="E126" s="470"/>
      <c r="F126" s="470"/>
      <c r="G126" s="310"/>
      <c r="H126" s="192" t="n">
        <f aca="false">C125*H125</f>
        <v>10220.878116</v>
      </c>
      <c r="I126" s="192" t="n">
        <f aca="false">H126</f>
        <v>10220.878116</v>
      </c>
      <c r="J126" s="192" t="n">
        <f aca="false">+I126</f>
        <v>10220.878116</v>
      </c>
      <c r="K126" s="192" t="n">
        <f aca="false">+J126</f>
        <v>10220.878116</v>
      </c>
      <c r="L126" s="192" t="n">
        <f aca="false">+K126</f>
        <v>10220.878116</v>
      </c>
      <c r="M126" s="192" t="n">
        <f aca="false">+L126</f>
        <v>10220.878116</v>
      </c>
      <c r="N126" s="192" t="n">
        <f aca="false">+M126</f>
        <v>10220.878116</v>
      </c>
      <c r="O126" s="192" t="n">
        <f aca="false">+N126</f>
        <v>10220.878116</v>
      </c>
      <c r="P126" s="192" t="n">
        <f aca="false">+O126</f>
        <v>10220.878116</v>
      </c>
      <c r="Q126" s="192" t="n">
        <f aca="false">+P126</f>
        <v>10220.878116</v>
      </c>
      <c r="R126" s="192" t="n">
        <f aca="false">+Q126</f>
        <v>10220.878116</v>
      </c>
      <c r="S126" s="192" t="n">
        <f aca="false">+R126</f>
        <v>10220.878116</v>
      </c>
    </row>
    <row r="127" customFormat="false" ht="12.75" hidden="false" customHeight="false" outlineLevel="0" collapsed="false">
      <c r="A127" s="187" t="s">
        <v>266</v>
      </c>
      <c r="D127" s="305"/>
      <c r="E127" s="535"/>
      <c r="F127" s="535"/>
      <c r="G127" s="317"/>
      <c r="H127" s="195" t="n">
        <f aca="false">H149</f>
        <v>5.9004</v>
      </c>
      <c r="I127" s="195" t="n">
        <f aca="false">I149</f>
        <v>10.9434199422192</v>
      </c>
      <c r="J127" s="195" t="n">
        <f aca="false">J149</f>
        <v>15.9864398844385</v>
      </c>
      <c r="K127" s="195" t="n">
        <f aca="false">K149</f>
        <v>21.0294598266578</v>
      </c>
      <c r="L127" s="195" t="n">
        <f aca="false">L149</f>
        <v>26.072479768877</v>
      </c>
      <c r="M127" s="195" t="n">
        <f aca="false">M149</f>
        <v>31.1154997110962</v>
      </c>
      <c r="N127" s="195" t="n">
        <f aca="false">N149</f>
        <v>36.1585196533155</v>
      </c>
      <c r="O127" s="195" t="n">
        <f aca="false">O149</f>
        <v>41.2015395955347</v>
      </c>
      <c r="P127" s="195" t="n">
        <f aca="false">P149</f>
        <v>46.244559537754</v>
      </c>
      <c r="Q127" s="195" t="n">
        <f aca="false">Q149</f>
        <v>51.2875794799732</v>
      </c>
      <c r="R127" s="195" t="n">
        <f aca="false">R149</f>
        <v>56.3305994221925</v>
      </c>
      <c r="S127" s="192"/>
    </row>
    <row r="128" customFormat="false" ht="12.75" hidden="false" customHeight="false" outlineLevel="0" collapsed="false">
      <c r="A128" s="528" t="s">
        <v>267</v>
      </c>
      <c r="D128" s="545" t="n">
        <v>9918.5</v>
      </c>
      <c r="E128" s="545" t="n">
        <v>16969.545</v>
      </c>
      <c r="F128" s="545" t="n">
        <v>16972.56</v>
      </c>
      <c r="G128" s="545" t="n">
        <v>10169.3</v>
      </c>
      <c r="H128" s="176" t="n">
        <f aca="false">SUM(H126:H127)</f>
        <v>10226.778516</v>
      </c>
      <c r="I128" s="176" t="n">
        <f aca="false">SUM(I126:I127)</f>
        <v>10231.8215359422</v>
      </c>
      <c r="J128" s="176" t="n">
        <f aca="false">SUM(J126:J127)</f>
        <v>10236.8645558844</v>
      </c>
      <c r="K128" s="176" t="n">
        <f aca="false">SUM(K126:K127)</f>
        <v>10241.9075758267</v>
      </c>
      <c r="L128" s="176" t="n">
        <f aca="false">SUM(L126:L127)</f>
        <v>10246.9505957689</v>
      </c>
      <c r="M128" s="176" t="n">
        <f aca="false">SUM(M126:M127)</f>
        <v>10251.9936157111</v>
      </c>
      <c r="N128" s="176" t="n">
        <f aca="false">SUM(N126:N127)</f>
        <v>10257.0366356533</v>
      </c>
      <c r="O128" s="176" t="n">
        <f aca="false">SUM(O126:O127)</f>
        <v>10262.0796555955</v>
      </c>
      <c r="P128" s="176" t="n">
        <f aca="false">SUM(P126:P127)</f>
        <v>10267.1226755378</v>
      </c>
      <c r="Q128" s="176" t="n">
        <f aca="false">SUM(Q126:Q127)</f>
        <v>10272.16569548</v>
      </c>
      <c r="R128" s="176" t="n">
        <f aca="false">SUM(R126:R127)</f>
        <v>10277.2087154222</v>
      </c>
      <c r="S128" s="176"/>
      <c r="T128" s="16"/>
    </row>
    <row r="129" customFormat="false" ht="12.75" hidden="false" customHeight="false" outlineLevel="0" collapsed="false">
      <c r="A129" s="187"/>
      <c r="D129" s="305"/>
      <c r="E129" s="470"/>
      <c r="F129" s="470"/>
      <c r="G129" s="310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6"/>
      <c r="T129" s="16"/>
    </row>
    <row r="130" customFormat="false" ht="12.75" hidden="false" customHeight="false" outlineLevel="0" collapsed="false">
      <c r="A130" s="348" t="s">
        <v>268</v>
      </c>
      <c r="D130" s="305"/>
      <c r="E130" s="470"/>
      <c r="F130" s="470"/>
      <c r="G130" s="310"/>
      <c r="H130" s="530" t="n">
        <v>0.05</v>
      </c>
      <c r="I130" s="531" t="n">
        <v>0.05</v>
      </c>
      <c r="J130" s="531" t="n">
        <v>0.05</v>
      </c>
      <c r="K130" s="531" t="n">
        <v>0.04</v>
      </c>
      <c r="L130" s="531" t="n">
        <v>0.04</v>
      </c>
      <c r="M130" s="531" t="n">
        <v>0.04</v>
      </c>
      <c r="N130" s="531" t="n">
        <f aca="false">M130</f>
        <v>0.04</v>
      </c>
      <c r="O130" s="531" t="n">
        <f aca="false">N130</f>
        <v>0.04</v>
      </c>
      <c r="P130" s="531" t="n">
        <v>0.03</v>
      </c>
      <c r="Q130" s="531" t="n">
        <f aca="false">P130</f>
        <v>0.03</v>
      </c>
      <c r="R130" s="531" t="n">
        <f aca="false">Q130</f>
        <v>0.03</v>
      </c>
      <c r="S130" s="539"/>
      <c r="T130" s="232"/>
    </row>
    <row r="131" customFormat="false" ht="12.75" hidden="false" customHeight="false" outlineLevel="0" collapsed="false">
      <c r="D131" s="305"/>
      <c r="E131" s="470"/>
      <c r="F131" s="470"/>
      <c r="G131" s="310"/>
      <c r="H131" s="530" t="n">
        <v>0.05</v>
      </c>
      <c r="I131" s="531" t="n">
        <v>0.095</v>
      </c>
      <c r="J131" s="531" t="n">
        <v>0.0855</v>
      </c>
      <c r="K131" s="531" t="n">
        <v>0.077</v>
      </c>
      <c r="L131" s="531" t="n">
        <v>0.0693</v>
      </c>
      <c r="M131" s="531" t="n">
        <v>0.0623</v>
      </c>
      <c r="N131" s="531" t="n">
        <v>0.059</v>
      </c>
      <c r="O131" s="531" t="n">
        <v>0.059</v>
      </c>
      <c r="P131" s="531" t="n">
        <v>0.0591</v>
      </c>
      <c r="Q131" s="531" t="n">
        <v>0.059</v>
      </c>
      <c r="R131" s="531" t="n">
        <v>0.0591</v>
      </c>
      <c r="S131" s="531" t="n">
        <v>0.059</v>
      </c>
      <c r="T131" s="531" t="n">
        <v>0.0591</v>
      </c>
      <c r="U131" s="531" t="n">
        <v>0.059</v>
      </c>
      <c r="V131" s="531" t="n">
        <v>0.0591</v>
      </c>
      <c r="W131" s="531" t="n">
        <v>0.059</v>
      </c>
      <c r="X131" s="531" t="n">
        <v>0.0591</v>
      </c>
      <c r="Y131" s="540" t="n">
        <v>0.0295</v>
      </c>
    </row>
    <row r="132" customFormat="false" ht="12.75" hidden="false" customHeight="false" outlineLevel="0" collapsed="false">
      <c r="A132" s="187" t="s">
        <v>265</v>
      </c>
      <c r="B132" s="541"/>
      <c r="D132" s="305"/>
      <c r="E132" s="470"/>
      <c r="F132" s="470"/>
      <c r="G132" s="310"/>
      <c r="H132" s="187" t="n">
        <f aca="false">H130*$C$125</f>
        <v>14195.66405</v>
      </c>
      <c r="I132" s="187" t="n">
        <f aca="false">I130*$C$125</f>
        <v>14195.66405</v>
      </c>
      <c r="J132" s="187" t="n">
        <f aca="false">J130*$C$125</f>
        <v>14195.66405</v>
      </c>
      <c r="K132" s="187" t="n">
        <f aca="false">K130*$C$125</f>
        <v>11356.53124</v>
      </c>
      <c r="L132" s="187" t="n">
        <f aca="false">L130*$C$125</f>
        <v>11356.53124</v>
      </c>
      <c r="M132" s="187" t="n">
        <f aca="false">M130*$C$125</f>
        <v>11356.53124</v>
      </c>
      <c r="N132" s="187" t="n">
        <f aca="false">N130*$C$125</f>
        <v>11356.53124</v>
      </c>
      <c r="O132" s="187" t="n">
        <f aca="false">O130*$C$125</f>
        <v>11356.53124</v>
      </c>
      <c r="P132" s="187" t="n">
        <f aca="false">P130*$C$125</f>
        <v>8517.39843</v>
      </c>
      <c r="Q132" s="187" t="n">
        <f aca="false">Q130*$C$125</f>
        <v>8517.39843</v>
      </c>
      <c r="R132" s="187" t="n">
        <f aca="false">R130*$C$125</f>
        <v>8517.39843</v>
      </c>
      <c r="S132" s="187" t="n">
        <f aca="false">S130*$C$125</f>
        <v>0</v>
      </c>
    </row>
    <row r="133" customFormat="false" ht="15" hidden="false" customHeight="false" outlineLevel="0" collapsed="false">
      <c r="A133" s="187" t="s">
        <v>266</v>
      </c>
      <c r="B133" s="466"/>
      <c r="D133" s="305"/>
      <c r="E133" s="477"/>
      <c r="F133" s="477"/>
      <c r="G133" s="310"/>
      <c r="H133" s="339" t="n">
        <f aca="false">H162</f>
        <v>8.195</v>
      </c>
      <c r="I133" s="339" t="n">
        <f aca="false">I162</f>
        <v>22.5746943641934</v>
      </c>
      <c r="J133" s="339" t="n">
        <f aca="false">J162</f>
        <v>34.3256136561609</v>
      </c>
      <c r="K133" s="339" t="n">
        <f aca="false">K162</f>
        <v>44.9096360189316</v>
      </c>
      <c r="L133" s="339" t="n">
        <f aca="false">L162</f>
        <v>54.4340653397894</v>
      </c>
      <c r="M133" s="339" t="n">
        <f aca="false">M162</f>
        <v>62.9945787285615</v>
      </c>
      <c r="N133" s="339" t="n">
        <f aca="false">N162</f>
        <v>71.1809349063465</v>
      </c>
      <c r="O133" s="339" t="n">
        <f aca="false">O162</f>
        <v>79.4458842560947</v>
      </c>
      <c r="P133" s="339" t="n">
        <f aca="false">P162</f>
        <v>87.7272236058429</v>
      </c>
      <c r="Q133" s="339" t="n">
        <f aca="false">Q162</f>
        <v>95.9897913443195</v>
      </c>
      <c r="R133" s="339" t="n">
        <f aca="false">R162</f>
        <v>104.271130694068</v>
      </c>
      <c r="S133" s="339"/>
    </row>
    <row r="134" customFormat="false" ht="12.75" hidden="false" customHeight="false" outlineLevel="0" collapsed="false">
      <c r="A134" s="528" t="s">
        <v>269</v>
      </c>
      <c r="C134" s="542" t="n">
        <v>2</v>
      </c>
      <c r="D134" s="478" t="n">
        <f aca="false">D128*$C$134</f>
        <v>19837</v>
      </c>
      <c r="E134" s="478" t="n">
        <f aca="false">E128*$C$134</f>
        <v>33939.09</v>
      </c>
      <c r="F134" s="478" t="n">
        <f aca="false">F128*$C$134</f>
        <v>33945.12</v>
      </c>
      <c r="G134" s="478" t="n">
        <f aca="false">G128*$C$134</f>
        <v>20338.6</v>
      </c>
      <c r="H134" s="176" t="n">
        <f aca="false">SUM(H132:H133)</f>
        <v>14203.85905</v>
      </c>
      <c r="I134" s="176" t="n">
        <f aca="false">SUM(I132:I133)</f>
        <v>14218.2387443642</v>
      </c>
      <c r="J134" s="176" t="n">
        <f aca="false">SUM(J132:J133)</f>
        <v>14229.9896636562</v>
      </c>
      <c r="K134" s="176" t="n">
        <f aca="false">SUM(K132:K133)</f>
        <v>11401.4408760189</v>
      </c>
      <c r="L134" s="176" t="n">
        <f aca="false">SUM(L132:L133)</f>
        <v>11410.9653053398</v>
      </c>
      <c r="M134" s="176" t="n">
        <f aca="false">SUM(M132:M133)</f>
        <v>11419.5258187286</v>
      </c>
      <c r="N134" s="176" t="n">
        <f aca="false">SUM(N132:N133)</f>
        <v>11427.7121749063</v>
      </c>
      <c r="O134" s="176" t="n">
        <f aca="false">SUM(O132:O133)</f>
        <v>11435.9771242561</v>
      </c>
      <c r="P134" s="176" t="n">
        <f aca="false">SUM(P132:P133)</f>
        <v>8605.12565360584</v>
      </c>
      <c r="Q134" s="176" t="n">
        <f aca="false">SUM(Q132:Q133)</f>
        <v>8613.38822134432</v>
      </c>
      <c r="R134" s="176" t="n">
        <f aca="false">SUM(R132:R133)</f>
        <v>8621.66956069407</v>
      </c>
      <c r="S134" s="187"/>
    </row>
    <row r="135" customFormat="false" ht="12.75" hidden="false" customHeight="false" outlineLevel="0" collapsed="false">
      <c r="D135" s="187" t="n">
        <f aca="false">(D134-D128)*0.385</f>
        <v>3818.6225</v>
      </c>
      <c r="E135" s="187" t="n">
        <f aca="false">(E134-E128)*0.385</f>
        <v>6533.274825</v>
      </c>
      <c r="F135" s="187" t="n">
        <f aca="false">(F134-F128)*0.385</f>
        <v>6534.4356</v>
      </c>
      <c r="G135" s="187" t="n">
        <f aca="false">(G134-G128)*0.385</f>
        <v>3915.1805</v>
      </c>
      <c r="H135" s="187" t="n">
        <f aca="false">(H134-H128)*0.385</f>
        <v>1531.17600559</v>
      </c>
      <c r="I135" s="187" t="n">
        <f aca="false">(I134-I128)*0.385</f>
        <v>1534.77062524246</v>
      </c>
      <c r="J135" s="187" t="n">
        <f aca="false">(J134-J128)*0.385</f>
        <v>1537.35316649211</v>
      </c>
      <c r="K135" s="187" t="n">
        <f aca="false">(K134-K128)*0.385</f>
        <v>446.420320574026</v>
      </c>
      <c r="L135" s="187" t="n">
        <f aca="false">(L134-L128)*0.385</f>
        <v>448.145663184802</v>
      </c>
      <c r="M135" s="187" t="n">
        <f aca="false">(M134-M128)*0.385</f>
        <v>449.499898161724</v>
      </c>
      <c r="N135" s="187" t="n">
        <f aca="false">(N134-N128)*0.385</f>
        <v>450.710082612417</v>
      </c>
      <c r="O135" s="187" t="n">
        <f aca="false">(O134-O128)*0.385</f>
        <v>451.950525434316</v>
      </c>
      <c r="P135" s="187" t="n">
        <f aca="false">(P134-P128)*0.385</f>
        <v>-639.868853443785</v>
      </c>
      <c r="Q135" s="187" t="n">
        <f aca="false">(Q134-Q128)*0.385</f>
        <v>-638.629327542226</v>
      </c>
      <c r="R135" s="187" t="n">
        <f aca="false">(R134-R128)*0.385</f>
        <v>-637.382574570328</v>
      </c>
    </row>
    <row r="136" customFormat="false" ht="12.75" hidden="true" customHeight="false" outlineLevel="1" collapsed="false">
      <c r="A136" s="0" t="s">
        <v>270</v>
      </c>
    </row>
    <row r="137" customFormat="false" ht="12.75" hidden="true" customHeight="false" outlineLevel="1" collapsed="false">
      <c r="H137" s="297" t="n">
        <v>2001</v>
      </c>
      <c r="I137" s="298" t="n">
        <v>2002</v>
      </c>
      <c r="J137" s="298" t="n">
        <v>2003</v>
      </c>
      <c r="K137" s="298" t="n">
        <v>2004</v>
      </c>
      <c r="L137" s="298" t="n">
        <v>2005</v>
      </c>
      <c r="M137" s="298" t="n">
        <v>2006</v>
      </c>
      <c r="N137" s="299" t="n">
        <v>2007</v>
      </c>
      <c r="O137" s="299" t="n">
        <v>2008</v>
      </c>
      <c r="P137" s="299" t="n">
        <v>2009</v>
      </c>
      <c r="Q137" s="299" t="n">
        <v>2010</v>
      </c>
      <c r="R137" s="543" t="n">
        <v>2011</v>
      </c>
    </row>
    <row r="138" customFormat="false" ht="12.75" hidden="true" customHeight="false" outlineLevel="1" collapsed="false">
      <c r="A138" s="0" t="n">
        <v>2000</v>
      </c>
      <c r="B138" s="0" t="s">
        <v>271</v>
      </c>
      <c r="H138" s="185" t="n">
        <f aca="false">G$107*H$125</f>
        <v>5.9004</v>
      </c>
      <c r="I138" s="185" t="n">
        <f aca="false">H138</f>
        <v>5.9004</v>
      </c>
      <c r="J138" s="185" t="n">
        <f aca="false">I138</f>
        <v>5.9004</v>
      </c>
      <c r="K138" s="185" t="n">
        <f aca="false">J138</f>
        <v>5.9004</v>
      </c>
      <c r="L138" s="185" t="n">
        <f aca="false">K138</f>
        <v>5.9004</v>
      </c>
      <c r="M138" s="185" t="n">
        <f aca="false">L138</f>
        <v>5.9004</v>
      </c>
      <c r="N138" s="185" t="n">
        <f aca="false">M138</f>
        <v>5.9004</v>
      </c>
      <c r="O138" s="185" t="n">
        <f aca="false">N138</f>
        <v>5.9004</v>
      </c>
      <c r="P138" s="185" t="n">
        <f aca="false">O138</f>
        <v>5.9004</v>
      </c>
      <c r="Q138" s="185" t="n">
        <f aca="false">P138</f>
        <v>5.9004</v>
      </c>
      <c r="R138" s="185" t="n">
        <f aca="false">Q138</f>
        <v>5.9004</v>
      </c>
    </row>
    <row r="139" customFormat="false" ht="12.75" hidden="true" customHeight="false" outlineLevel="1" collapsed="false">
      <c r="A139" s="0" t="n">
        <v>2001</v>
      </c>
      <c r="B139" s="0" t="s">
        <v>271</v>
      </c>
      <c r="H139" s="185"/>
      <c r="I139" s="185" t="n">
        <f aca="false">H$107*I$125</f>
        <v>5.04301994221925</v>
      </c>
      <c r="J139" s="185" t="n">
        <f aca="false">I139</f>
        <v>5.04301994221925</v>
      </c>
      <c r="K139" s="185" t="n">
        <f aca="false">J139</f>
        <v>5.04301994221925</v>
      </c>
      <c r="L139" s="185" t="n">
        <f aca="false">K139</f>
        <v>5.04301994221925</v>
      </c>
      <c r="M139" s="185" t="n">
        <f aca="false">L139</f>
        <v>5.04301994221925</v>
      </c>
      <c r="N139" s="185" t="n">
        <f aca="false">M139</f>
        <v>5.04301994221925</v>
      </c>
      <c r="O139" s="185" t="n">
        <f aca="false">N139</f>
        <v>5.04301994221925</v>
      </c>
      <c r="P139" s="185" t="n">
        <f aca="false">O139</f>
        <v>5.04301994221925</v>
      </c>
      <c r="Q139" s="185" t="n">
        <f aca="false">P139</f>
        <v>5.04301994221925</v>
      </c>
      <c r="R139" s="185" t="n">
        <f aca="false">Q139</f>
        <v>5.04301994221925</v>
      </c>
    </row>
    <row r="140" customFormat="false" ht="12.75" hidden="true" customHeight="false" outlineLevel="1" collapsed="false">
      <c r="A140" s="0" t="n">
        <v>2002</v>
      </c>
      <c r="B140" s="0" t="s">
        <v>271</v>
      </c>
      <c r="H140" s="185"/>
      <c r="I140" s="185"/>
      <c r="J140" s="185" t="n">
        <f aca="false">I$107*J$125</f>
        <v>5.04301994221925</v>
      </c>
      <c r="K140" s="185" t="n">
        <f aca="false">J140</f>
        <v>5.04301994221925</v>
      </c>
      <c r="L140" s="185" t="n">
        <f aca="false">K140</f>
        <v>5.04301994221925</v>
      </c>
      <c r="M140" s="185" t="n">
        <f aca="false">L140</f>
        <v>5.04301994221925</v>
      </c>
      <c r="N140" s="185" t="n">
        <f aca="false">M140</f>
        <v>5.04301994221925</v>
      </c>
      <c r="O140" s="185" t="n">
        <f aca="false">N140</f>
        <v>5.04301994221925</v>
      </c>
      <c r="P140" s="185" t="n">
        <f aca="false">O140</f>
        <v>5.04301994221925</v>
      </c>
      <c r="Q140" s="185" t="n">
        <f aca="false">P140</f>
        <v>5.04301994221925</v>
      </c>
      <c r="R140" s="185" t="n">
        <f aca="false">Q140</f>
        <v>5.04301994221925</v>
      </c>
    </row>
    <row r="141" customFormat="false" ht="12.75" hidden="true" customHeight="false" outlineLevel="1" collapsed="false">
      <c r="A141" s="0" t="n">
        <v>2003</v>
      </c>
      <c r="B141" s="0" t="s">
        <v>271</v>
      </c>
      <c r="H141" s="185"/>
      <c r="I141" s="185"/>
      <c r="J141" s="185"/>
      <c r="K141" s="185" t="n">
        <f aca="false">J$107*K$125</f>
        <v>5.04301994221925</v>
      </c>
      <c r="L141" s="185" t="n">
        <f aca="false">K141</f>
        <v>5.04301994221925</v>
      </c>
      <c r="M141" s="185" t="n">
        <f aca="false">L141</f>
        <v>5.04301994221925</v>
      </c>
      <c r="N141" s="185" t="n">
        <f aca="false">M141</f>
        <v>5.04301994221925</v>
      </c>
      <c r="O141" s="185" t="n">
        <f aca="false">N141</f>
        <v>5.04301994221925</v>
      </c>
      <c r="P141" s="185" t="n">
        <f aca="false">O141</f>
        <v>5.04301994221925</v>
      </c>
      <c r="Q141" s="185" t="n">
        <f aca="false">P141</f>
        <v>5.04301994221925</v>
      </c>
      <c r="R141" s="185" t="n">
        <f aca="false">Q141</f>
        <v>5.04301994221925</v>
      </c>
    </row>
    <row r="142" customFormat="false" ht="12.75" hidden="true" customHeight="false" outlineLevel="1" collapsed="false">
      <c r="A142" s="0" t="n">
        <v>2004</v>
      </c>
      <c r="B142" s="0" t="s">
        <v>271</v>
      </c>
      <c r="H142" s="185"/>
      <c r="I142" s="185"/>
      <c r="J142" s="185"/>
      <c r="K142" s="185"/>
      <c r="L142" s="185" t="n">
        <f aca="false">K$107*L$125</f>
        <v>5.04301994221925</v>
      </c>
      <c r="M142" s="185" t="n">
        <f aca="false">L142</f>
        <v>5.04301994221925</v>
      </c>
      <c r="N142" s="185" t="n">
        <f aca="false">M142</f>
        <v>5.04301994221925</v>
      </c>
      <c r="O142" s="185" t="n">
        <f aca="false">N142</f>
        <v>5.04301994221925</v>
      </c>
      <c r="P142" s="185" t="n">
        <f aca="false">O142</f>
        <v>5.04301994221925</v>
      </c>
      <c r="Q142" s="185" t="n">
        <f aca="false">P142</f>
        <v>5.04301994221925</v>
      </c>
      <c r="R142" s="185" t="n">
        <f aca="false">Q142</f>
        <v>5.04301994221925</v>
      </c>
    </row>
    <row r="143" customFormat="false" ht="12.75" hidden="true" customHeight="false" outlineLevel="1" collapsed="false">
      <c r="A143" s="0" t="n">
        <v>2005</v>
      </c>
      <c r="B143" s="0" t="s">
        <v>271</v>
      </c>
      <c r="H143" s="185"/>
      <c r="I143" s="185"/>
      <c r="J143" s="185"/>
      <c r="K143" s="185"/>
      <c r="L143" s="185"/>
      <c r="M143" s="185" t="n">
        <f aca="false">L$107*M$125</f>
        <v>5.04301994221925</v>
      </c>
      <c r="N143" s="185" t="n">
        <f aca="false">M143</f>
        <v>5.04301994221925</v>
      </c>
      <c r="O143" s="185" t="n">
        <f aca="false">N143</f>
        <v>5.04301994221925</v>
      </c>
      <c r="P143" s="185" t="n">
        <f aca="false">O143</f>
        <v>5.04301994221925</v>
      </c>
      <c r="Q143" s="185" t="n">
        <f aca="false">P143</f>
        <v>5.04301994221925</v>
      </c>
      <c r="R143" s="185" t="n">
        <f aca="false">Q143</f>
        <v>5.04301994221925</v>
      </c>
    </row>
    <row r="144" customFormat="false" ht="12.75" hidden="true" customHeight="false" outlineLevel="1" collapsed="false">
      <c r="A144" s="0" t="n">
        <v>2006</v>
      </c>
      <c r="B144" s="0" t="s">
        <v>271</v>
      </c>
      <c r="H144" s="185"/>
      <c r="I144" s="185"/>
      <c r="J144" s="185"/>
      <c r="K144" s="185"/>
      <c r="L144" s="185"/>
      <c r="M144" s="185"/>
      <c r="N144" s="185" t="n">
        <f aca="false">M$107*N$125</f>
        <v>5.04301994221925</v>
      </c>
      <c r="O144" s="185" t="n">
        <f aca="false">N144</f>
        <v>5.04301994221925</v>
      </c>
      <c r="P144" s="185" t="n">
        <f aca="false">O144</f>
        <v>5.04301994221925</v>
      </c>
      <c r="Q144" s="185" t="n">
        <f aca="false">P144</f>
        <v>5.04301994221925</v>
      </c>
      <c r="R144" s="185" t="n">
        <f aca="false">Q144</f>
        <v>5.04301994221925</v>
      </c>
    </row>
    <row r="145" customFormat="false" ht="12.75" hidden="true" customHeight="false" outlineLevel="1" collapsed="false">
      <c r="A145" s="0" t="n">
        <v>2007</v>
      </c>
      <c r="B145" s="0" t="s">
        <v>271</v>
      </c>
      <c r="H145" s="185"/>
      <c r="I145" s="185"/>
      <c r="J145" s="185"/>
      <c r="K145" s="185"/>
      <c r="L145" s="185"/>
      <c r="M145" s="185"/>
      <c r="N145" s="185"/>
      <c r="O145" s="185" t="n">
        <f aca="false">N$107*O$125</f>
        <v>5.04301994221925</v>
      </c>
      <c r="P145" s="185" t="n">
        <f aca="false">O145</f>
        <v>5.04301994221925</v>
      </c>
      <c r="Q145" s="185" t="n">
        <f aca="false">P145</f>
        <v>5.04301994221925</v>
      </c>
      <c r="R145" s="185" t="n">
        <f aca="false">Q145</f>
        <v>5.04301994221925</v>
      </c>
    </row>
    <row r="146" customFormat="false" ht="12.75" hidden="true" customHeight="false" outlineLevel="1" collapsed="false">
      <c r="A146" s="0" t="n">
        <v>2008</v>
      </c>
      <c r="B146" s="0" t="s">
        <v>271</v>
      </c>
      <c r="H146" s="185"/>
      <c r="I146" s="185"/>
      <c r="J146" s="185"/>
      <c r="K146" s="185"/>
      <c r="L146" s="185"/>
      <c r="M146" s="185"/>
      <c r="N146" s="185"/>
      <c r="O146" s="185"/>
      <c r="P146" s="185" t="n">
        <f aca="false">O$107*P$125</f>
        <v>5.04301994221925</v>
      </c>
      <c r="Q146" s="185" t="n">
        <f aca="false">P146</f>
        <v>5.04301994221925</v>
      </c>
      <c r="R146" s="185" t="n">
        <f aca="false">Q146</f>
        <v>5.04301994221925</v>
      </c>
    </row>
    <row r="147" customFormat="false" ht="12.75" hidden="true" customHeight="false" outlineLevel="1" collapsed="false">
      <c r="A147" s="0" t="n">
        <v>2009</v>
      </c>
      <c r="B147" s="0" t="s">
        <v>271</v>
      </c>
      <c r="H147" s="185"/>
      <c r="I147" s="185"/>
      <c r="J147" s="185"/>
      <c r="K147" s="185"/>
      <c r="L147" s="185"/>
      <c r="M147" s="185"/>
      <c r="N147" s="185"/>
      <c r="O147" s="185"/>
      <c r="P147" s="185"/>
      <c r="Q147" s="185" t="n">
        <f aca="false">P$107*Q$125</f>
        <v>5.04301994221925</v>
      </c>
      <c r="R147" s="185" t="n">
        <f aca="false">Q147</f>
        <v>5.04301994221925</v>
      </c>
    </row>
    <row r="148" customFormat="false" ht="12.75" hidden="true" customHeight="false" outlineLevel="1" collapsed="false">
      <c r="A148" s="0" t="n">
        <v>2010</v>
      </c>
      <c r="B148" s="0" t="s">
        <v>271</v>
      </c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 t="n">
        <f aca="false">Q$107*R$125</f>
        <v>5.04301994221925</v>
      </c>
    </row>
    <row r="149" customFormat="false" ht="12.75" hidden="true" customHeight="false" outlineLevel="1" collapsed="false">
      <c r="A149" s="0" t="s">
        <v>267</v>
      </c>
      <c r="H149" s="544" t="n">
        <f aca="false">SUM(H138:H148)</f>
        <v>5.9004</v>
      </c>
      <c r="I149" s="544" t="n">
        <f aca="false">SUM(I138:I148)</f>
        <v>10.9434199422192</v>
      </c>
      <c r="J149" s="544" t="n">
        <f aca="false">SUM(J138:J148)</f>
        <v>15.9864398844385</v>
      </c>
      <c r="K149" s="544" t="n">
        <f aca="false">SUM(K138:K148)</f>
        <v>21.0294598266578</v>
      </c>
      <c r="L149" s="544" t="n">
        <f aca="false">SUM(L138:L148)</f>
        <v>26.072479768877</v>
      </c>
      <c r="M149" s="544" t="n">
        <f aca="false">SUM(M138:M148)</f>
        <v>31.1154997110962</v>
      </c>
      <c r="N149" s="544" t="n">
        <f aca="false">SUM(N138:N148)</f>
        <v>36.1585196533155</v>
      </c>
      <c r="O149" s="544" t="n">
        <f aca="false">SUM(O138:O148)</f>
        <v>41.2015395955347</v>
      </c>
      <c r="P149" s="544" t="n">
        <f aca="false">SUM(P138:P148)</f>
        <v>46.244559537754</v>
      </c>
      <c r="Q149" s="544" t="n">
        <f aca="false">SUM(Q138:Q148)</f>
        <v>51.2875794799732</v>
      </c>
      <c r="R149" s="544" t="n">
        <f aca="false">SUM(R138:R148)</f>
        <v>56.3305994221925</v>
      </c>
    </row>
    <row r="150" customFormat="false" ht="12.75" hidden="true" customHeight="false" outlineLevel="1" collapsed="false"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</row>
    <row r="151" customFormat="false" ht="12.75" hidden="true" customHeight="false" outlineLevel="1" collapsed="false">
      <c r="A151" s="0" t="n">
        <v>2000</v>
      </c>
      <c r="B151" s="0" t="s">
        <v>271</v>
      </c>
      <c r="H151" s="185" t="n">
        <f aca="false">$G$107*H$131</f>
        <v>8.195</v>
      </c>
      <c r="I151" s="185" t="n">
        <f aca="false">$G$107*I$131</f>
        <v>15.5705</v>
      </c>
      <c r="J151" s="185" t="n">
        <f aca="false">$G$107*J$131</f>
        <v>14.01345</v>
      </c>
      <c r="K151" s="185" t="n">
        <f aca="false">$G$107*K$131</f>
        <v>12.6203</v>
      </c>
      <c r="L151" s="185" t="n">
        <f aca="false">$G$107*L$131</f>
        <v>11.35827</v>
      </c>
      <c r="M151" s="185" t="n">
        <f aca="false">$G$107*M$131</f>
        <v>10.21097</v>
      </c>
      <c r="N151" s="185" t="n">
        <f aca="false">$G$107*N$131</f>
        <v>9.6701</v>
      </c>
      <c r="O151" s="185" t="n">
        <f aca="false">$G$107*O$131</f>
        <v>9.6701</v>
      </c>
      <c r="P151" s="185" t="n">
        <f aca="false">$G$107*P$131</f>
        <v>9.68649</v>
      </c>
      <c r="Q151" s="185" t="n">
        <f aca="false">$G$107*Q$131</f>
        <v>9.6701</v>
      </c>
      <c r="R151" s="185" t="n">
        <f aca="false">$G$107*R$131</f>
        <v>9.68649</v>
      </c>
    </row>
    <row r="152" customFormat="false" ht="12.75" hidden="true" customHeight="false" outlineLevel="1" collapsed="false">
      <c r="A152" s="0" t="n">
        <v>2001</v>
      </c>
      <c r="B152" s="0" t="s">
        <v>271</v>
      </c>
      <c r="H152" s="185"/>
      <c r="I152" s="185" t="n">
        <f aca="false">$H$107*H$131</f>
        <v>7.0041943641934</v>
      </c>
      <c r="J152" s="185" t="n">
        <f aca="false">$H$107*I$131</f>
        <v>13.3079692919675</v>
      </c>
      <c r="K152" s="185" t="n">
        <f aca="false">$H$107*J$131</f>
        <v>11.9771723627707</v>
      </c>
      <c r="L152" s="185" t="n">
        <f aca="false">$H$107*K$131</f>
        <v>10.7864593208578</v>
      </c>
      <c r="M152" s="185" t="n">
        <f aca="false">$H$107*L$131</f>
        <v>9.70781338877206</v>
      </c>
      <c r="N152" s="185" t="n">
        <f aca="false">$H$107*M$131</f>
        <v>8.72722617778498</v>
      </c>
      <c r="O152" s="185" t="n">
        <f aca="false">$H$107*N$131</f>
        <v>8.26494934974821</v>
      </c>
      <c r="P152" s="185" t="n">
        <f aca="false">$H$107*O$131</f>
        <v>8.26494934974821</v>
      </c>
      <c r="Q152" s="185" t="n">
        <f aca="false">$H$107*P$131</f>
        <v>8.2789577384766</v>
      </c>
      <c r="R152" s="185" t="n">
        <f aca="false">$H$107*Q$131</f>
        <v>8.26494934974821</v>
      </c>
    </row>
    <row r="153" customFormat="false" ht="12.75" hidden="true" customHeight="false" outlineLevel="1" collapsed="false">
      <c r="A153" s="0" t="n">
        <v>2002</v>
      </c>
      <c r="B153" s="0" t="s">
        <v>271</v>
      </c>
      <c r="H153" s="185"/>
      <c r="I153" s="185"/>
      <c r="J153" s="185" t="n">
        <f aca="false">$I$107*H$131</f>
        <v>7.0041943641934</v>
      </c>
      <c r="K153" s="185" t="n">
        <f aca="false">$I$107*I$131</f>
        <v>13.3079692919675</v>
      </c>
      <c r="L153" s="185" t="n">
        <f aca="false">$I$107*J$131</f>
        <v>11.9771723627707</v>
      </c>
      <c r="M153" s="185" t="n">
        <f aca="false">$I$107*K$131</f>
        <v>10.7864593208578</v>
      </c>
      <c r="N153" s="185" t="n">
        <f aca="false">$I$107*L$131</f>
        <v>9.70781338877206</v>
      </c>
      <c r="O153" s="185" t="n">
        <f aca="false">$I$107*M$131</f>
        <v>8.72722617778498</v>
      </c>
      <c r="P153" s="185" t="n">
        <f aca="false">$I$107*N$131</f>
        <v>8.26494934974821</v>
      </c>
      <c r="Q153" s="185" t="n">
        <f aca="false">$I$107*O$131</f>
        <v>8.26494934974821</v>
      </c>
      <c r="R153" s="185" t="n">
        <f aca="false">$I$107*P$131</f>
        <v>8.2789577384766</v>
      </c>
    </row>
    <row r="154" customFormat="false" ht="12.75" hidden="true" customHeight="false" outlineLevel="1" collapsed="false">
      <c r="A154" s="0" t="n">
        <v>2003</v>
      </c>
      <c r="B154" s="0" t="s">
        <v>271</v>
      </c>
      <c r="H154" s="185"/>
      <c r="I154" s="185"/>
      <c r="J154" s="185"/>
      <c r="K154" s="185" t="n">
        <f aca="false">$J$107*H$131</f>
        <v>7.0041943641934</v>
      </c>
      <c r="L154" s="185" t="n">
        <f aca="false">$J$107*I$131</f>
        <v>13.3079692919675</v>
      </c>
      <c r="M154" s="185" t="n">
        <f aca="false">$J$107*J$131</f>
        <v>11.9771723627707</v>
      </c>
      <c r="N154" s="185" t="n">
        <f aca="false">$J$107*K$131</f>
        <v>10.7864593208578</v>
      </c>
      <c r="O154" s="185" t="n">
        <f aca="false">$J$107*L$131</f>
        <v>9.70781338877206</v>
      </c>
      <c r="P154" s="185" t="n">
        <f aca="false">$J$107*M$131</f>
        <v>8.72722617778498</v>
      </c>
      <c r="Q154" s="185" t="n">
        <f aca="false">$J$107*N$131</f>
        <v>8.26494934974821</v>
      </c>
      <c r="R154" s="185" t="n">
        <f aca="false">$J$107*O$131</f>
        <v>8.26494934974821</v>
      </c>
    </row>
    <row r="155" customFormat="false" ht="12.75" hidden="true" customHeight="false" outlineLevel="1" collapsed="false">
      <c r="A155" s="0" t="n">
        <v>2004</v>
      </c>
      <c r="B155" s="0" t="s">
        <v>271</v>
      </c>
      <c r="H155" s="185"/>
      <c r="I155" s="185"/>
      <c r="J155" s="185"/>
      <c r="K155" s="185"/>
      <c r="L155" s="185" t="n">
        <f aca="false">$K$107*H$131</f>
        <v>7.0041943641934</v>
      </c>
      <c r="M155" s="185" t="n">
        <f aca="false">$K$107*I$131</f>
        <v>13.3079692919675</v>
      </c>
      <c r="N155" s="185" t="n">
        <f aca="false">$K$107*J$131</f>
        <v>11.9771723627707</v>
      </c>
      <c r="O155" s="185" t="n">
        <f aca="false">$K$107*K$131</f>
        <v>10.7864593208578</v>
      </c>
      <c r="P155" s="185" t="n">
        <f aca="false">$K$107*L$131</f>
        <v>9.70781338877206</v>
      </c>
      <c r="Q155" s="185" t="n">
        <f aca="false">$K$107*M$131</f>
        <v>8.72722617778498</v>
      </c>
      <c r="R155" s="185" t="n">
        <f aca="false">$K$107*N$131</f>
        <v>8.26494934974821</v>
      </c>
    </row>
    <row r="156" customFormat="false" ht="12.75" hidden="true" customHeight="false" outlineLevel="1" collapsed="false">
      <c r="A156" s="0" t="n">
        <v>2005</v>
      </c>
      <c r="B156" s="0" t="s">
        <v>271</v>
      </c>
      <c r="H156" s="185"/>
      <c r="I156" s="185"/>
      <c r="J156" s="185"/>
      <c r="K156" s="185"/>
      <c r="L156" s="185"/>
      <c r="M156" s="185" t="n">
        <f aca="false">$L$107*H$131</f>
        <v>7.0041943641934</v>
      </c>
      <c r="N156" s="185" t="n">
        <f aca="false">$L$107*I$131</f>
        <v>13.3079692919675</v>
      </c>
      <c r="O156" s="185" t="n">
        <f aca="false">$L$107*J$131</f>
        <v>11.9771723627707</v>
      </c>
      <c r="P156" s="185" t="n">
        <f aca="false">$L$107*K$131</f>
        <v>10.7864593208578</v>
      </c>
      <c r="Q156" s="185" t="n">
        <f aca="false">$L$107*L$131</f>
        <v>9.70781338877206</v>
      </c>
      <c r="R156" s="185" t="n">
        <f aca="false">$L$107*M$131</f>
        <v>8.72722617778498</v>
      </c>
    </row>
    <row r="157" customFormat="false" ht="12.75" hidden="true" customHeight="false" outlineLevel="1" collapsed="false">
      <c r="A157" s="0" t="n">
        <v>2006</v>
      </c>
      <c r="B157" s="0" t="s">
        <v>271</v>
      </c>
      <c r="H157" s="185"/>
      <c r="I157" s="185"/>
      <c r="J157" s="185"/>
      <c r="K157" s="185"/>
      <c r="L157" s="185"/>
      <c r="M157" s="185"/>
      <c r="N157" s="185" t="n">
        <f aca="false">$M$107*H$131</f>
        <v>7.0041943641934</v>
      </c>
      <c r="O157" s="185" t="n">
        <f aca="false">$M$107*I$131</f>
        <v>13.3079692919675</v>
      </c>
      <c r="P157" s="185" t="n">
        <f aca="false">$M$107*J$131</f>
        <v>11.9771723627707</v>
      </c>
      <c r="Q157" s="185" t="n">
        <f aca="false">$M$107*K$131</f>
        <v>10.7864593208578</v>
      </c>
      <c r="R157" s="185" t="n">
        <f aca="false">$M$107*L$131</f>
        <v>9.70781338877206</v>
      </c>
    </row>
    <row r="158" customFormat="false" ht="12.75" hidden="true" customHeight="false" outlineLevel="1" collapsed="false">
      <c r="A158" s="0" t="n">
        <v>2007</v>
      </c>
      <c r="B158" s="0" t="s">
        <v>271</v>
      </c>
      <c r="H158" s="185"/>
      <c r="I158" s="185"/>
      <c r="J158" s="185"/>
      <c r="K158" s="185"/>
      <c r="L158" s="185"/>
      <c r="M158" s="185"/>
      <c r="N158" s="185"/>
      <c r="O158" s="185" t="n">
        <f aca="false">$N$107*H$131</f>
        <v>7.0041943641934</v>
      </c>
      <c r="P158" s="185" t="n">
        <f aca="false">$N$107*I$131</f>
        <v>13.3079692919675</v>
      </c>
      <c r="Q158" s="185" t="n">
        <f aca="false">$N$107*J$131</f>
        <v>11.9771723627707</v>
      </c>
      <c r="R158" s="185" t="n">
        <f aca="false">$N$107*K$131</f>
        <v>10.7864593208578</v>
      </c>
    </row>
    <row r="159" customFormat="false" ht="12.75" hidden="true" customHeight="false" outlineLevel="1" collapsed="false">
      <c r="A159" s="0" t="n">
        <v>2008</v>
      </c>
      <c r="B159" s="0" t="s">
        <v>271</v>
      </c>
      <c r="H159" s="185"/>
      <c r="I159" s="185"/>
      <c r="J159" s="185"/>
      <c r="K159" s="185"/>
      <c r="L159" s="185"/>
      <c r="M159" s="185"/>
      <c r="N159" s="185"/>
      <c r="O159" s="185"/>
      <c r="P159" s="185" t="n">
        <f aca="false">$O$107*H$131</f>
        <v>7.0041943641934</v>
      </c>
      <c r="Q159" s="185" t="n">
        <f aca="false">$O$107*I$131</f>
        <v>13.3079692919675</v>
      </c>
      <c r="R159" s="185" t="n">
        <f aca="false">$O$107*J$131</f>
        <v>11.9771723627707</v>
      </c>
    </row>
    <row r="160" customFormat="false" ht="12.75" hidden="true" customHeight="false" outlineLevel="1" collapsed="false">
      <c r="A160" s="0" t="n">
        <v>2009</v>
      </c>
      <c r="B160" s="0" t="s">
        <v>271</v>
      </c>
      <c r="H160" s="185"/>
      <c r="I160" s="185"/>
      <c r="J160" s="185"/>
      <c r="K160" s="185"/>
      <c r="L160" s="185"/>
      <c r="M160" s="185"/>
      <c r="N160" s="185"/>
      <c r="O160" s="185"/>
      <c r="P160" s="185"/>
      <c r="Q160" s="185" t="n">
        <f aca="false">$P$107*H$131</f>
        <v>7.0041943641934</v>
      </c>
      <c r="R160" s="185" t="n">
        <f aca="false">$P$107*I$131</f>
        <v>13.3079692919675</v>
      </c>
    </row>
    <row r="161" customFormat="false" ht="12.75" hidden="true" customHeight="false" outlineLevel="1" collapsed="false">
      <c r="A161" s="0" t="n">
        <v>2010</v>
      </c>
      <c r="B161" s="0" t="s">
        <v>271</v>
      </c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 t="n">
        <f aca="false">Q$107*H$131</f>
        <v>7.0041943641934</v>
      </c>
    </row>
    <row r="162" customFormat="false" ht="12.75" hidden="true" customHeight="false" outlineLevel="1" collapsed="false">
      <c r="H162" s="544" t="n">
        <f aca="false">SUM(H151:H161)</f>
        <v>8.195</v>
      </c>
      <c r="I162" s="544" t="n">
        <f aca="false">SUM(I151:I161)</f>
        <v>22.5746943641934</v>
      </c>
      <c r="J162" s="544" t="n">
        <f aca="false">SUM(J151:J161)</f>
        <v>34.3256136561609</v>
      </c>
      <c r="K162" s="544" t="n">
        <f aca="false">SUM(K151:K161)</f>
        <v>44.9096360189316</v>
      </c>
      <c r="L162" s="544" t="n">
        <f aca="false">SUM(L151:L161)</f>
        <v>54.4340653397894</v>
      </c>
      <c r="M162" s="544" t="n">
        <f aca="false">SUM(M151:M161)</f>
        <v>62.9945787285615</v>
      </c>
      <c r="N162" s="544" t="n">
        <f aca="false">SUM(N151:N161)</f>
        <v>71.1809349063465</v>
      </c>
      <c r="O162" s="544" t="n">
        <f aca="false">SUM(O151:O161)</f>
        <v>79.4458842560947</v>
      </c>
      <c r="P162" s="544" t="n">
        <f aca="false">SUM(P151:P161)</f>
        <v>87.7272236058429</v>
      </c>
      <c r="Q162" s="544" t="n">
        <f aca="false">SUM(Q151:Q161)</f>
        <v>95.9897913443195</v>
      </c>
      <c r="R162" s="544" t="n">
        <f aca="false">SUM(R151:R161)</f>
        <v>104.271130694068</v>
      </c>
    </row>
    <row r="163" customFormat="false" ht="12.75" hidden="false" customHeight="false" outlineLevel="0" collapsed="false">
      <c r="D163" s="187"/>
      <c r="E163" s="187" t="n">
        <f aca="false">47300-48700</f>
        <v>-1400</v>
      </c>
      <c r="F163" s="187" t="n">
        <f aca="false">37700-47300</f>
        <v>-9600</v>
      </c>
      <c r="G163" s="187" t="n">
        <f aca="false">41600-37700</f>
        <v>3900</v>
      </c>
    </row>
  </sheetData>
  <mergeCells count="1">
    <mergeCell ref="L40:N40"/>
  </mergeCells>
  <conditionalFormatting sqref="C11">
    <cfRule type="cellIs" priority="2" operator="notBetween" aboveAverage="0" equalAverage="0" bottom="0" percent="0" rank="0" text="" dxfId="5">
      <formula>0.25</formula>
      <formula>-0.25</formula>
    </cfRule>
  </conditionalFormatting>
  <printOptions headings="false" gridLines="false" gridLinesSet="true" horizontalCentered="true" verticalCentered="false"/>
  <pageMargins left="0" right="0" top="0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44" man="true" max="16383" min="0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1.13"/>
    <col collapsed="false" customWidth="true" hidden="false" outlineLevel="0" max="2" min="2" style="0" width="9.99"/>
    <col collapsed="false" customWidth="true" hidden="false" outlineLevel="0" max="7" min="3" style="0" width="10.99"/>
    <col collapsed="false" customWidth="true" hidden="false" outlineLevel="0" max="8" min="8" style="0" width="12.56"/>
    <col collapsed="false" customWidth="true" hidden="false" outlineLevel="0" max="9" min="9" style="0" width="11.99"/>
    <col collapsed="false" customWidth="true" hidden="false" outlineLevel="0" max="11" min="10" style="0" width="12.56"/>
    <col collapsed="false" customWidth="true" hidden="false" outlineLevel="0" max="12" min="12" style="0" width="12.42"/>
    <col collapsed="false" customWidth="true" hidden="false" outlineLevel="0" max="13" min="13" style="0" width="12.28"/>
    <col collapsed="false" customWidth="true" hidden="false" outlineLevel="0" max="14" min="14" style="0" width="10.99"/>
    <col collapsed="false" customWidth="true" hidden="false" outlineLevel="0" max="15" min="15" style="0" width="11.99"/>
    <col collapsed="false" customWidth="true" hidden="false" outlineLevel="0" max="16" min="16" style="0" width="10.99"/>
    <col collapsed="false" customWidth="true" hidden="false" outlineLevel="0" max="17" min="17" style="0" width="11.56"/>
    <col collapsed="false" customWidth="true" hidden="false" outlineLevel="0" max="22" min="18" style="0" width="10.99"/>
  </cols>
  <sheetData>
    <row r="1" customFormat="false" ht="18" hidden="false" customHeight="false" outlineLevel="0" collapsed="false">
      <c r="A1" s="629" t="str">
        <f aca="false">Assumptions!D6</f>
        <v>ETS</v>
      </c>
      <c r="B1" s="630"/>
      <c r="C1" s="10"/>
      <c r="D1" s="10"/>
      <c r="E1" s="12"/>
    </row>
    <row r="2" customFormat="false" ht="15.75" hidden="false" customHeight="false" outlineLevel="0" collapsed="false">
      <c r="A2" s="631" t="s">
        <v>310</v>
      </c>
      <c r="B2" s="632"/>
      <c r="C2" s="16"/>
      <c r="D2" s="16"/>
      <c r="E2" s="18"/>
    </row>
    <row r="3" customFormat="false" ht="16.5" hidden="false" customHeight="false" outlineLevel="0" collapsed="false">
      <c r="A3" s="58"/>
      <c r="B3" s="633"/>
      <c r="C3" s="28"/>
      <c r="D3" s="28"/>
      <c r="E3" s="30"/>
    </row>
    <row r="5" customFormat="false" ht="12.75" hidden="false" customHeight="false" outlineLevel="1" collapsed="false">
      <c r="A5" s="65" t="s">
        <v>311</v>
      </c>
      <c r="B5" s="66"/>
      <c r="C5" s="67" t="n">
        <f aca="false">Salvage_Multiple</f>
        <v>9</v>
      </c>
    </row>
    <row r="6" customFormat="false" ht="12.75" hidden="false" customHeight="false" outlineLevel="1" collapsed="false">
      <c r="A6" s="74" t="s">
        <v>312</v>
      </c>
      <c r="B6" s="75"/>
      <c r="C6" s="634" t="n">
        <f aca="false">+ConsDRate</f>
        <v>0.075</v>
      </c>
    </row>
    <row r="7" customFormat="false" ht="12.75" hidden="false" customHeight="false" outlineLevel="1" collapsed="false"/>
    <row r="8" customFormat="false" ht="15.75" hidden="false" customHeight="false" outlineLevel="0" collapsed="false">
      <c r="A8" s="284" t="s">
        <v>313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204"/>
      <c r="O8" s="204"/>
      <c r="P8" s="204"/>
      <c r="Q8" s="204"/>
      <c r="R8" s="204"/>
      <c r="S8" s="204"/>
      <c r="T8" s="204"/>
      <c r="U8" s="204"/>
      <c r="V8" s="204"/>
    </row>
    <row r="9" customFormat="false" ht="15.75" hidden="false" customHeight="false" outlineLevel="0" collapsed="false">
      <c r="A9" s="635" t="s">
        <v>314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</row>
    <row r="10" customFormat="false" ht="15.75" hidden="false" customHeight="false" outlineLevel="0" collapsed="false">
      <c r="A10" s="636"/>
      <c r="B10" s="637"/>
      <c r="C10" s="638" t="s">
        <v>311</v>
      </c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R10" s="72"/>
      <c r="S10" s="72"/>
      <c r="T10" s="72"/>
      <c r="U10" s="72"/>
      <c r="V10" s="72"/>
    </row>
    <row r="11" customFormat="false" ht="12.75" hidden="false" customHeight="false" outlineLevel="0" collapsed="false">
      <c r="A11" s="639"/>
      <c r="B11" s="640" t="n">
        <f aca="false">'Unlev. Consolid'!O120</f>
        <v>6435168.61117669</v>
      </c>
      <c r="C11" s="641" t="n">
        <v>5</v>
      </c>
      <c r="D11" s="641" t="n">
        <v>6</v>
      </c>
      <c r="E11" s="641" t="n">
        <v>7</v>
      </c>
      <c r="F11" s="641" t="n">
        <v>8</v>
      </c>
      <c r="G11" s="641" t="n">
        <v>9</v>
      </c>
      <c r="H11" s="641" t="n">
        <v>10</v>
      </c>
      <c r="I11" s="641" t="n">
        <v>11</v>
      </c>
      <c r="J11" s="641" t="n">
        <v>12</v>
      </c>
      <c r="K11" s="641" t="n">
        <v>13</v>
      </c>
      <c r="L11" s="641" t="n">
        <v>14</v>
      </c>
      <c r="M11" s="641" t="n">
        <v>15</v>
      </c>
      <c r="N11" s="642"/>
      <c r="O11" s="642"/>
      <c r="P11" s="642"/>
      <c r="Q11" s="642"/>
      <c r="R11" s="642"/>
      <c r="S11" s="642"/>
      <c r="T11" s="642"/>
      <c r="U11" s="642"/>
      <c r="V11" s="642"/>
    </row>
    <row r="12" customFormat="false" ht="12.75" hidden="false" customHeight="false" outlineLevel="0" collapsed="false">
      <c r="A12" s="639"/>
      <c r="B12" s="643" t="n">
        <v>0.06</v>
      </c>
      <c r="C12" s="644" t="n">
        <f aca="true">TABLE($B$11,$C$6,$B12,$C$5,C$11)</f>
        <v>4869214.20346153</v>
      </c>
      <c r="D12" s="644" t="n">
        <f aca="true">TABLE($B$11,$C$6,$B12,$C$5,D$11)</f>
        <v>5556485.49123429</v>
      </c>
      <c r="E12" s="644" t="n">
        <f aca="true">TABLE($B$11,$C$6,$B12,$C$5,E$11)</f>
        <v>6243756.77900705</v>
      </c>
      <c r="F12" s="644" t="n">
        <f aca="true">TABLE($B$11,$C$6,$B12,$C$5,F$11)</f>
        <v>6931028.06677981</v>
      </c>
      <c r="G12" s="644" t="n">
        <f aca="true">TABLE($B$11,$C$6,$B12,$C$5,G$11)</f>
        <v>7618299.35455257</v>
      </c>
      <c r="H12" s="644" t="n">
        <f aca="true">TABLE($B$11,$C$6,$B12,$C$5,H$11)</f>
        <v>8305570.64232533</v>
      </c>
      <c r="I12" s="644" t="n">
        <f aca="true">TABLE($B$11,$C$6,$B12,$C$5,I$11)</f>
        <v>8992841.93009809</v>
      </c>
      <c r="J12" s="644" t="n">
        <f aca="true">TABLE($B$11,$C$6,$B12,$C$5,J$11)</f>
        <v>9680113.21787085</v>
      </c>
      <c r="K12" s="644" t="n">
        <f aca="true">TABLE($B$11,$C$6,$B12,$C$5,K$11)</f>
        <v>10367384.5056436</v>
      </c>
      <c r="L12" s="644" t="n">
        <f aca="true">TABLE($B$11,$C$6,$B12,$C$5,L$11)</f>
        <v>11054655.7934164</v>
      </c>
      <c r="M12" s="644" t="n">
        <f aca="true">TABLE($B$11,$C$6,$B12,$C$5,M$11)</f>
        <v>11741927.0811891</v>
      </c>
      <c r="N12" s="184"/>
      <c r="O12" s="184"/>
      <c r="P12" s="184"/>
      <c r="Q12" s="184"/>
      <c r="R12" s="184"/>
      <c r="S12" s="184"/>
      <c r="T12" s="184"/>
      <c r="U12" s="184"/>
      <c r="V12" s="184"/>
    </row>
    <row r="13" customFormat="false" ht="12.75" hidden="false" customHeight="false" outlineLevel="0" collapsed="false">
      <c r="A13" s="639"/>
      <c r="B13" s="645" t="n">
        <v>0.065</v>
      </c>
      <c r="C13" s="646" t="n">
        <f aca="true">TABLE($B$11,$C$6,$B13,$C$5,C$11)</f>
        <v>4582638.06009027</v>
      </c>
      <c r="D13" s="646" t="n">
        <f aca="true">TABLE($B$11,$C$6,$B13,$C$5,D$11)</f>
        <v>5238316.30709136</v>
      </c>
      <c r="E13" s="646" t="n">
        <f aca="true">TABLE($B$11,$C$6,$B13,$C$5,E$11)</f>
        <v>5893994.55409245</v>
      </c>
      <c r="F13" s="646" t="n">
        <f aca="true">TABLE($B$11,$C$6,$B13,$C$5,F$11)</f>
        <v>6549672.80109355</v>
      </c>
      <c r="G13" s="646" t="n">
        <f aca="true">TABLE($B$11,$C$6,$B13,$C$5,G$11)</f>
        <v>7205351.04809464</v>
      </c>
      <c r="H13" s="646" t="n">
        <f aca="true">TABLE($B$11,$C$6,$B13,$C$5,H$11)</f>
        <v>7861029.29509573</v>
      </c>
      <c r="I13" s="646" t="n">
        <f aca="true">TABLE($B$11,$C$6,$B13,$C$5,I$11)</f>
        <v>8516707.54209682</v>
      </c>
      <c r="J13" s="646" t="n">
        <f aca="true">TABLE($B$11,$C$6,$B13,$C$5,J$11)</f>
        <v>9172385.78909792</v>
      </c>
      <c r="K13" s="646" t="n">
        <f aca="true">TABLE($B$11,$C$6,$B13,$C$5,K$11)</f>
        <v>9828064.03609901</v>
      </c>
      <c r="L13" s="646" t="n">
        <f aca="true">TABLE($B$11,$C$6,$B13,$C$5,L$11)</f>
        <v>10483742.2831001</v>
      </c>
      <c r="M13" s="646" t="n">
        <f aca="true">TABLE($B$11,$C$6,$B13,$C$5,M$11)</f>
        <v>11139420.5301012</v>
      </c>
      <c r="N13" s="184"/>
      <c r="O13" s="184"/>
      <c r="P13" s="184"/>
      <c r="Q13" s="184"/>
      <c r="R13" s="184"/>
      <c r="S13" s="184"/>
      <c r="T13" s="184"/>
      <c r="U13" s="184"/>
      <c r="V13" s="184"/>
    </row>
    <row r="14" customFormat="false" ht="12.75" hidden="false" customHeight="false" outlineLevel="0" collapsed="false">
      <c r="A14" s="639"/>
      <c r="B14" s="643" t="n">
        <v>0.07</v>
      </c>
      <c r="C14" s="644" t="n">
        <f aca="true">TABLE($B$11,$C$6,$B14,$C$5,C$11)</f>
        <v>4308599.82319856</v>
      </c>
      <c r="D14" s="644" t="n">
        <f aca="true">TABLE($B$11,$C$6,$B14,$C$5,D$11)</f>
        <v>4934275.21825496</v>
      </c>
      <c r="E14" s="644" t="n">
        <f aca="true">TABLE($B$11,$C$6,$B14,$C$5,E$11)</f>
        <v>5559950.61331136</v>
      </c>
      <c r="F14" s="644" t="n">
        <f aca="true">TABLE($B$11,$C$6,$B14,$C$5,F$11)</f>
        <v>6185626.00836776</v>
      </c>
      <c r="G14" s="644" t="n">
        <f aca="true">TABLE($B$11,$C$6,$B14,$C$5,G$11)</f>
        <v>6811301.40342416</v>
      </c>
      <c r="H14" s="644" t="n">
        <f aca="true">TABLE($B$11,$C$6,$B14,$C$5,H$11)</f>
        <v>7436976.79848057</v>
      </c>
      <c r="I14" s="644" t="n">
        <f aca="true">TABLE($B$11,$C$6,$B14,$C$5,I$11)</f>
        <v>8062652.19353697</v>
      </c>
      <c r="J14" s="644" t="n">
        <f aca="true">TABLE($B$11,$C$6,$B14,$C$5,J$11)</f>
        <v>8688327.58859337</v>
      </c>
      <c r="K14" s="644" t="n">
        <f aca="true">TABLE($B$11,$C$6,$B14,$C$5,K$11)</f>
        <v>9314002.98364977</v>
      </c>
      <c r="L14" s="644" t="n">
        <f aca="true">TABLE($B$11,$C$6,$B14,$C$5,L$11)</f>
        <v>9939678.37870618</v>
      </c>
      <c r="M14" s="644" t="n">
        <f aca="true">TABLE($B$11,$C$6,$B14,$C$5,M$11)</f>
        <v>10565353.7737626</v>
      </c>
      <c r="N14" s="184"/>
      <c r="O14" s="184"/>
      <c r="P14" s="184"/>
      <c r="Q14" s="184"/>
      <c r="R14" s="184"/>
      <c r="S14" s="184"/>
      <c r="T14" s="184"/>
      <c r="U14" s="184"/>
      <c r="V14" s="184"/>
    </row>
    <row r="15" customFormat="false" ht="12.75" hidden="false" customHeight="false" outlineLevel="0" collapsed="false">
      <c r="A15" s="639"/>
      <c r="B15" s="647" t="n">
        <v>0.075</v>
      </c>
      <c r="C15" s="646" t="n">
        <f aca="true">TABLE($B$11,$C$6,$B15,$C$5,C$11)</f>
        <v>4046465.35169788</v>
      </c>
      <c r="D15" s="646" t="n">
        <f aca="true">TABLE($B$11,$C$6,$B15,$C$5,D$11)</f>
        <v>4643641.16656758</v>
      </c>
      <c r="E15" s="646" t="n">
        <f aca="true">TABLE($B$11,$C$6,$B15,$C$5,E$11)</f>
        <v>5240816.98143728</v>
      </c>
      <c r="F15" s="646" t="n">
        <f aca="true">TABLE($B$11,$C$6,$B15,$C$5,F$11)</f>
        <v>5837992.79630698</v>
      </c>
      <c r="G15" s="646" t="n">
        <f aca="true">TABLE($B$11,$C$6,$B15,$C$5,G$11)</f>
        <v>6435168.61117669</v>
      </c>
      <c r="H15" s="646" t="n">
        <f aca="true">TABLE($B$11,$C$6,$B15,$C$5,H$11)</f>
        <v>7032344.42604639</v>
      </c>
      <c r="I15" s="646" t="n">
        <f aca="true">TABLE($B$11,$C$6,$B15,$C$5,I$11)</f>
        <v>7629520.24091609</v>
      </c>
      <c r="J15" s="646" t="n">
        <f aca="true">TABLE($B$11,$C$6,$B15,$C$5,J$11)</f>
        <v>8226696.05578579</v>
      </c>
      <c r="K15" s="646" t="n">
        <f aca="true">TABLE($B$11,$C$6,$B15,$C$5,K$11)</f>
        <v>8823871.8706555</v>
      </c>
      <c r="L15" s="646" t="n">
        <f aca="true">TABLE($B$11,$C$6,$B15,$C$5,L$11)</f>
        <v>9421047.6855252</v>
      </c>
      <c r="M15" s="646" t="n">
        <f aca="true">TABLE($B$11,$C$6,$B15,$C$5,M$11)</f>
        <v>10018223.5003949</v>
      </c>
      <c r="N15" s="184"/>
      <c r="O15" s="184"/>
      <c r="P15" s="184"/>
      <c r="Q15" s="184"/>
      <c r="R15" s="184"/>
      <c r="S15" s="184"/>
      <c r="T15" s="184"/>
      <c r="U15" s="184"/>
      <c r="V15" s="184"/>
    </row>
    <row r="16" customFormat="false" ht="12.75" hidden="false" customHeight="false" outlineLevel="0" collapsed="false">
      <c r="A16" s="639"/>
      <c r="B16" s="643" t="n">
        <v>0.08</v>
      </c>
      <c r="C16" s="644" t="n">
        <f aca="true">TABLE($B$11,$C$6,$B16,$C$5,C$11)</f>
        <v>3795636.10187573</v>
      </c>
      <c r="D16" s="644" t="n">
        <f aca="true">TABLE($B$11,$C$6,$B16,$C$5,D$11)</f>
        <v>4365733.81447004</v>
      </c>
      <c r="E16" s="644" t="n">
        <f aca="true">TABLE($B$11,$C$6,$B16,$C$5,E$11)</f>
        <v>4935831.52706435</v>
      </c>
      <c r="F16" s="644" t="n">
        <f aca="true">TABLE($B$11,$C$6,$B16,$C$5,F$11)</f>
        <v>5505929.23965866</v>
      </c>
      <c r="G16" s="644" t="n">
        <f aca="true">TABLE($B$11,$C$6,$B16,$C$5,G$11)</f>
        <v>6076026.95225296</v>
      </c>
      <c r="H16" s="644" t="n">
        <f aca="true">TABLE($B$11,$C$6,$B16,$C$5,H$11)</f>
        <v>6646124.66484727</v>
      </c>
      <c r="I16" s="644" t="n">
        <f aca="true">TABLE($B$11,$C$6,$B16,$C$5,I$11)</f>
        <v>7216222.37744158</v>
      </c>
      <c r="J16" s="644" t="n">
        <f aca="true">TABLE($B$11,$C$6,$B16,$C$5,J$11)</f>
        <v>7786320.09003589</v>
      </c>
      <c r="K16" s="644" t="n">
        <f aca="true">TABLE($B$11,$C$6,$B16,$C$5,K$11)</f>
        <v>8356417.80263019</v>
      </c>
      <c r="L16" s="644" t="n">
        <f aca="true">TABLE($B$11,$C$6,$B16,$C$5,L$11)</f>
        <v>8926515.5152245</v>
      </c>
      <c r="M16" s="644" t="n">
        <f aca="true">TABLE($B$11,$C$6,$B16,$C$5,M$11)</f>
        <v>9496613.22781881</v>
      </c>
      <c r="N16" s="184"/>
      <c r="O16" s="184"/>
      <c r="P16" s="184"/>
      <c r="Q16" s="184"/>
      <c r="R16" s="184"/>
      <c r="S16" s="184"/>
      <c r="T16" s="184"/>
      <c r="U16" s="184"/>
      <c r="V16" s="184"/>
    </row>
    <row r="17" customFormat="false" ht="12.75" hidden="false" customHeight="false" outlineLevel="0" collapsed="false">
      <c r="A17" s="639"/>
      <c r="B17" s="645" t="n">
        <v>0.085</v>
      </c>
      <c r="C17" s="646" t="n">
        <f aca="true">TABLE($B$11,$C$6,$B17,$C$5,C$11)</f>
        <v>3555546.95189521</v>
      </c>
      <c r="D17" s="646" t="n">
        <f aca="true">TABLE($B$11,$C$6,$B17,$C$5,D$11)</f>
        <v>4099911.04576231</v>
      </c>
      <c r="E17" s="646" t="n">
        <f aca="true">TABLE($B$11,$C$6,$B17,$C$5,E$11)</f>
        <v>4644275.1396294</v>
      </c>
      <c r="F17" s="646" t="n">
        <f aca="true">TABLE($B$11,$C$6,$B17,$C$5,F$11)</f>
        <v>5188639.2334965</v>
      </c>
      <c r="G17" s="646" t="n">
        <f aca="true">TABLE($B$11,$C$6,$B17,$C$5,G$11)</f>
        <v>5733003.32736359</v>
      </c>
      <c r="H17" s="646" t="n">
        <f aca="true">TABLE($B$11,$C$6,$B17,$C$5,H$11)</f>
        <v>6277367.42123069</v>
      </c>
      <c r="I17" s="646" t="n">
        <f aca="true">TABLE($B$11,$C$6,$B17,$C$5,I$11)</f>
        <v>6821731.51509778</v>
      </c>
      <c r="J17" s="646" t="n">
        <f aca="true">TABLE($B$11,$C$6,$B17,$C$5,J$11)</f>
        <v>7366095.60896488</v>
      </c>
      <c r="K17" s="646" t="n">
        <f aca="true">TABLE($B$11,$C$6,$B17,$C$5,K$11)</f>
        <v>7910459.70283197</v>
      </c>
      <c r="L17" s="646" t="n">
        <f aca="true">TABLE($B$11,$C$6,$B17,$C$5,L$11)</f>
        <v>8454823.79669906</v>
      </c>
      <c r="M17" s="646" t="n">
        <f aca="true">TABLE($B$11,$C$6,$B17,$C$5,M$11)</f>
        <v>8999187.89056616</v>
      </c>
      <c r="N17" s="184"/>
      <c r="O17" s="184"/>
      <c r="P17" s="184"/>
      <c r="Q17" s="184"/>
      <c r="R17" s="184"/>
      <c r="S17" s="184"/>
      <c r="T17" s="184"/>
      <c r="U17" s="184"/>
      <c r="V17" s="184"/>
    </row>
    <row r="18" customFormat="false" ht="12.75" hidden="false" customHeight="false" outlineLevel="0" collapsed="false">
      <c r="A18" s="639"/>
      <c r="B18" s="643" t="n">
        <v>0.09</v>
      </c>
      <c r="C18" s="644" t="n">
        <f aca="true">TABLE($B$11,$C$6,$B18,$C$5,C$11)</f>
        <v>3325664.16940856</v>
      </c>
      <c r="D18" s="644" t="n">
        <f aca="true">TABLE($B$11,$C$6,$B18,$C$5,D$11)</f>
        <v>3845566.63129792</v>
      </c>
      <c r="E18" s="644" t="n">
        <f aca="true">TABLE($B$11,$C$6,$B18,$C$5,E$11)</f>
        <v>4365469.09318728</v>
      </c>
      <c r="F18" s="644" t="n">
        <f aca="true">TABLE($B$11,$C$6,$B18,$C$5,F$11)</f>
        <v>4885371.55507664</v>
      </c>
      <c r="G18" s="644" t="n">
        <f aca="true">TABLE($B$11,$C$6,$B18,$C$5,G$11)</f>
        <v>5405274.016966</v>
      </c>
      <c r="H18" s="644" t="n">
        <f aca="true">TABLE($B$11,$C$6,$B18,$C$5,H$11)</f>
        <v>5925176.47885537</v>
      </c>
      <c r="I18" s="644" t="n">
        <f aca="true">TABLE($B$11,$C$6,$B18,$C$5,I$11)</f>
        <v>6445078.94074473</v>
      </c>
      <c r="J18" s="644" t="n">
        <f aca="true">TABLE($B$11,$C$6,$B18,$C$5,J$11)</f>
        <v>6964981.40263409</v>
      </c>
      <c r="K18" s="644" t="n">
        <f aca="true">TABLE($B$11,$C$6,$B18,$C$5,K$11)</f>
        <v>7484883.86452345</v>
      </c>
      <c r="L18" s="644" t="n">
        <f aca="true">TABLE($B$11,$C$6,$B18,$C$5,L$11)</f>
        <v>8004786.32641281</v>
      </c>
      <c r="M18" s="644" t="n">
        <f aca="true">TABLE($B$11,$C$6,$B18,$C$5,M$11)</f>
        <v>8524688.78830217</v>
      </c>
      <c r="N18" s="184"/>
      <c r="O18" s="184"/>
      <c r="P18" s="184"/>
      <c r="Q18" s="184"/>
      <c r="R18" s="184"/>
      <c r="S18" s="184"/>
      <c r="T18" s="184"/>
      <c r="U18" s="184"/>
      <c r="V18" s="184"/>
    </row>
    <row r="19" customFormat="false" ht="12.75" hidden="false" customHeight="false" outlineLevel="0" collapsed="false">
      <c r="A19" s="648" t="s">
        <v>315</v>
      </c>
      <c r="B19" s="645" t="n">
        <v>0.095</v>
      </c>
      <c r="C19" s="646" t="n">
        <f aca="true">TABLE($B$11,$C$6,$B19,$C$5,C$11)</f>
        <v>3105483.51222895</v>
      </c>
      <c r="D19" s="646" t="n">
        <f aca="true">TABLE($B$11,$C$6,$B19,$C$5,D$11)</f>
        <v>3602128.04799464</v>
      </c>
      <c r="E19" s="646" t="n">
        <f aca="true">TABLE($B$11,$C$6,$B19,$C$5,E$11)</f>
        <v>4098772.58376033</v>
      </c>
      <c r="F19" s="646" t="n">
        <f aca="true">TABLE($B$11,$C$6,$B19,$C$5,F$11)</f>
        <v>4595417.11952602</v>
      </c>
      <c r="G19" s="646" t="n">
        <f aca="true">TABLE($B$11,$C$6,$B19,$C$5,G$11)</f>
        <v>5092061.65529171</v>
      </c>
      <c r="H19" s="646" t="n">
        <f aca="true">TABLE($B$11,$C$6,$B19,$C$5,H$11)</f>
        <v>5588706.19105741</v>
      </c>
      <c r="I19" s="646" t="n">
        <f aca="true">TABLE($B$11,$C$6,$B19,$C$5,I$11)</f>
        <v>6085350.7268231</v>
      </c>
      <c r="J19" s="646" t="n">
        <f aca="true">TABLE($B$11,$C$6,$B19,$C$5,J$11)</f>
        <v>6581995.26258879</v>
      </c>
      <c r="K19" s="646" t="n">
        <f aca="true">TABLE($B$11,$C$6,$B19,$C$5,K$11)</f>
        <v>7078639.79835448</v>
      </c>
      <c r="L19" s="646" t="n">
        <f aca="true">TABLE($B$11,$C$6,$B19,$C$5,L$11)</f>
        <v>7575284.33412018</v>
      </c>
      <c r="M19" s="646" t="n">
        <f aca="true">TABLE($B$11,$C$6,$B19,$C$5,M$11)</f>
        <v>8071928.86988587</v>
      </c>
      <c r="N19" s="184"/>
      <c r="O19" s="184"/>
      <c r="P19" s="184"/>
      <c r="Q19" s="184"/>
      <c r="R19" s="184"/>
      <c r="S19" s="184"/>
      <c r="T19" s="184"/>
      <c r="U19" s="184"/>
      <c r="V19" s="184"/>
    </row>
    <row r="20" customFormat="false" ht="12.75" hidden="false" customHeight="false" outlineLevel="0" collapsed="false">
      <c r="A20" s="648" t="s">
        <v>316</v>
      </c>
      <c r="B20" s="643" t="n">
        <v>0.1</v>
      </c>
      <c r="C20" s="644" t="n">
        <f aca="true">TABLE($B$11,$C$6,$B20,$C$5,C$11)</f>
        <v>2894528.45275438</v>
      </c>
      <c r="D20" s="644" t="n">
        <f aca="true">TABLE($B$11,$C$6,$B20,$C$5,D$11)</f>
        <v>3369054.44041178</v>
      </c>
      <c r="E20" s="644" t="n">
        <f aca="true">TABLE($B$11,$C$6,$B20,$C$5,E$11)</f>
        <v>3843580.42806918</v>
      </c>
      <c r="F20" s="644" t="n">
        <f aca="true">TABLE($B$11,$C$6,$B20,$C$5,F$11)</f>
        <v>4318106.41572658</v>
      </c>
      <c r="G20" s="644" t="n">
        <f aca="true">TABLE($B$11,$C$6,$B20,$C$5,G$11)</f>
        <v>4792632.40338398</v>
      </c>
      <c r="H20" s="644" t="n">
        <f aca="true">TABLE($B$11,$C$6,$B20,$C$5,H$11)</f>
        <v>5267158.39104138</v>
      </c>
      <c r="I20" s="644" t="n">
        <f aca="true">TABLE($B$11,$C$6,$B20,$C$5,I$11)</f>
        <v>5741684.37869878</v>
      </c>
      <c r="J20" s="644" t="n">
        <f aca="true">TABLE($B$11,$C$6,$B20,$C$5,J$11)</f>
        <v>6216210.36635618</v>
      </c>
      <c r="K20" s="644" t="n">
        <f aca="true">TABLE($B$11,$C$6,$B20,$C$5,K$11)</f>
        <v>6690736.35401358</v>
      </c>
      <c r="L20" s="644" t="n">
        <f aca="true">TABLE($B$11,$C$6,$B20,$C$5,L$11)</f>
        <v>7165262.34167098</v>
      </c>
      <c r="M20" s="644" t="n">
        <f aca="true">TABLE($B$11,$C$6,$B20,$C$5,M$11)</f>
        <v>7639788.32932838</v>
      </c>
      <c r="N20" s="184"/>
      <c r="O20" s="184"/>
      <c r="P20" s="184"/>
      <c r="Q20" s="184"/>
      <c r="R20" s="184"/>
      <c r="S20" s="184"/>
      <c r="T20" s="184"/>
      <c r="U20" s="184"/>
      <c r="V20" s="184"/>
    </row>
    <row r="21" customFormat="false" ht="12.75" hidden="false" customHeight="false" outlineLevel="0" collapsed="false">
      <c r="A21" s="639"/>
      <c r="B21" s="645" t="n">
        <v>0.105</v>
      </c>
      <c r="C21" s="646" t="n">
        <f aca="true">TABLE($B$11,$C$6,$B21,$C$5,C$11)</f>
        <v>2692348.51752945</v>
      </c>
      <c r="D21" s="646" t="n">
        <f aca="true">TABLE($B$11,$C$6,$B21,$C$5,D$11)</f>
        <v>3145834.71494542</v>
      </c>
      <c r="E21" s="646" t="n">
        <f aca="true">TABLE($B$11,$C$6,$B21,$C$5,E$11)</f>
        <v>3599320.91236139</v>
      </c>
      <c r="F21" s="646" t="n">
        <f aca="true">TABLE($B$11,$C$6,$B21,$C$5,F$11)</f>
        <v>4052807.10977736</v>
      </c>
      <c r="G21" s="646" t="n">
        <f aca="true">TABLE($B$11,$C$6,$B21,$C$5,G$11)</f>
        <v>4506293.30719334</v>
      </c>
      <c r="H21" s="646" t="n">
        <f aca="true">TABLE($B$11,$C$6,$B21,$C$5,H$11)</f>
        <v>4959779.50460931</v>
      </c>
      <c r="I21" s="646" t="n">
        <f aca="true">TABLE($B$11,$C$6,$B21,$C$5,I$11)</f>
        <v>5413265.70202528</v>
      </c>
      <c r="J21" s="646" t="n">
        <f aca="true">TABLE($B$11,$C$6,$B21,$C$5,J$11)</f>
        <v>5866751.89944125</v>
      </c>
      <c r="K21" s="646" t="n">
        <f aca="true">TABLE($B$11,$C$6,$B21,$C$5,K$11)</f>
        <v>6320238.09685723</v>
      </c>
      <c r="L21" s="646" t="n">
        <f aca="true">TABLE($B$11,$C$6,$B21,$C$5,L$11)</f>
        <v>6773724.2942732</v>
      </c>
      <c r="M21" s="646" t="n">
        <f aca="true">TABLE($B$11,$C$6,$B21,$C$5,M$11)</f>
        <v>7227210.49168917</v>
      </c>
      <c r="N21" s="184"/>
      <c r="O21" s="184"/>
      <c r="P21" s="184"/>
      <c r="Q21" s="184"/>
      <c r="R21" s="184"/>
      <c r="S21" s="184"/>
      <c r="T21" s="184"/>
      <c r="U21" s="184"/>
      <c r="V21" s="184"/>
    </row>
    <row r="22" customFormat="false" ht="12.75" hidden="false" customHeight="false" outlineLevel="0" collapsed="false">
      <c r="A22" s="639"/>
      <c r="B22" s="643" t="n">
        <v>0.11</v>
      </c>
      <c r="C22" s="644" t="n">
        <f aca="true">TABLE($B$11,$C$6,$B22,$C$5,C$11)</f>
        <v>2498517.73396703</v>
      </c>
      <c r="D22" s="644" t="n">
        <f aca="true">TABLE($B$11,$C$6,$B22,$C$5,D$11)</f>
        <v>2931985.75742904</v>
      </c>
      <c r="E22" s="644" t="n">
        <f aca="true">TABLE($B$11,$C$6,$B22,$C$5,E$11)</f>
        <v>3365453.78089105</v>
      </c>
      <c r="F22" s="644" t="n">
        <f aca="true">TABLE($B$11,$C$6,$B22,$C$5,F$11)</f>
        <v>3798921.80435305</v>
      </c>
      <c r="G22" s="644" t="n">
        <f aca="true">TABLE($B$11,$C$6,$B22,$C$5,G$11)</f>
        <v>4232389.82781506</v>
      </c>
      <c r="H22" s="644" t="n">
        <f aca="true">TABLE($B$11,$C$6,$B22,$C$5,H$11)</f>
        <v>4665857.85127707</v>
      </c>
      <c r="I22" s="644" t="n">
        <f aca="true">TABLE($B$11,$C$6,$B22,$C$5,I$11)</f>
        <v>5099325.87473908</v>
      </c>
      <c r="J22" s="644" t="n">
        <f aca="true">TABLE($B$11,$C$6,$B22,$C$5,J$11)</f>
        <v>5532793.89820109</v>
      </c>
      <c r="K22" s="644" t="n">
        <f aca="true">TABLE($B$11,$C$6,$B22,$C$5,K$11)</f>
        <v>5966261.9216631</v>
      </c>
      <c r="L22" s="644" t="n">
        <f aca="true">TABLE($B$11,$C$6,$B22,$C$5,L$11)</f>
        <v>6399729.94512511</v>
      </c>
      <c r="M22" s="644" t="n">
        <f aca="true">TABLE($B$11,$C$6,$B22,$C$5,M$11)</f>
        <v>6833197.96858712</v>
      </c>
      <c r="N22" s="184"/>
      <c r="O22" s="184"/>
      <c r="P22" s="184"/>
      <c r="Q22" s="184"/>
      <c r="R22" s="184"/>
      <c r="S22" s="184"/>
      <c r="T22" s="184"/>
      <c r="U22" s="184"/>
      <c r="V22" s="184"/>
    </row>
    <row r="23" customFormat="false" ht="12.75" hidden="false" customHeight="false" outlineLevel="0" collapsed="false">
      <c r="A23" s="639"/>
      <c r="B23" s="645" t="n">
        <v>0.115</v>
      </c>
      <c r="C23" s="646" t="n">
        <f aca="true">TABLE($B$11,$C$6,$B23,$C$5,C$11)</f>
        <v>2312633.17683981</v>
      </c>
      <c r="D23" s="646" t="n">
        <f aca="true">TABLE($B$11,$C$6,$B23,$C$5,D$11)</f>
        <v>2727050.76560725</v>
      </c>
      <c r="E23" s="646" t="n">
        <f aca="true">TABLE($B$11,$C$6,$B23,$C$5,E$11)</f>
        <v>3141468.35437468</v>
      </c>
      <c r="F23" s="646" t="n">
        <f aca="true">TABLE($B$11,$C$6,$B23,$C$5,F$11)</f>
        <v>3555885.94314212</v>
      </c>
      <c r="G23" s="646" t="n">
        <f aca="true">TABLE($B$11,$C$6,$B23,$C$5,G$11)</f>
        <v>3970303.53190956</v>
      </c>
      <c r="H23" s="646" t="n">
        <f aca="true">TABLE($B$11,$C$6,$B23,$C$5,H$11)</f>
        <v>4384721.12067699</v>
      </c>
      <c r="I23" s="646" t="n">
        <f aca="true">TABLE($B$11,$C$6,$B23,$C$5,I$11)</f>
        <v>4799138.70944443</v>
      </c>
      <c r="J23" s="646" t="n">
        <f aca="true">TABLE($B$11,$C$6,$B23,$C$5,J$11)</f>
        <v>5213556.29821186</v>
      </c>
      <c r="K23" s="646" t="n">
        <f aca="true">TABLE($B$11,$C$6,$B23,$C$5,K$11)</f>
        <v>5627973.8869793</v>
      </c>
      <c r="L23" s="646" t="n">
        <f aca="true">TABLE($B$11,$C$6,$B23,$C$5,L$11)</f>
        <v>6042391.47574673</v>
      </c>
      <c r="M23" s="646" t="n">
        <f aca="true">TABLE($B$11,$C$6,$B23,$C$5,M$11)</f>
        <v>6456809.06451417</v>
      </c>
      <c r="N23" s="184"/>
      <c r="O23" s="184"/>
      <c r="P23" s="184"/>
      <c r="Q23" s="184"/>
      <c r="R23" s="184"/>
      <c r="S23" s="184"/>
      <c r="T23" s="184"/>
      <c r="U23" s="184"/>
      <c r="V23" s="184"/>
    </row>
    <row r="24" customFormat="false" ht="12.75" hidden="false" customHeight="false" outlineLevel="0" collapsed="false">
      <c r="A24" s="639"/>
      <c r="B24" s="643" t="n">
        <v>0.12</v>
      </c>
      <c r="C24" s="644" t="n">
        <f aca="true">TABLE($B$11,$C$6,$B24,$C$5,C$11)</f>
        <v>2134313.60769229</v>
      </c>
      <c r="D24" s="644" t="n">
        <f aca="true">TABLE($B$11,$C$6,$B24,$C$5,D$11)</f>
        <v>2530597.68857596</v>
      </c>
      <c r="E24" s="644" t="n">
        <f aca="true">TABLE($B$11,$C$6,$B24,$C$5,E$11)</f>
        <v>2926881.76945964</v>
      </c>
      <c r="F24" s="644" t="n">
        <f aca="true">TABLE($B$11,$C$6,$B24,$C$5,F$11)</f>
        <v>3323165.85034331</v>
      </c>
      <c r="G24" s="644" t="n">
        <f aca="true">TABLE($B$11,$C$6,$B24,$C$5,G$11)</f>
        <v>3719449.93122698</v>
      </c>
      <c r="H24" s="644" t="n">
        <f aca="true">TABLE($B$11,$C$6,$B24,$C$5,H$11)</f>
        <v>4115734.01211065</v>
      </c>
      <c r="I24" s="644" t="n">
        <f aca="true">TABLE($B$11,$C$6,$B24,$C$5,I$11)</f>
        <v>4512018.09299433</v>
      </c>
      <c r="J24" s="644" t="n">
        <f aca="true">TABLE($B$11,$C$6,$B24,$C$5,J$11)</f>
        <v>4908302.173878</v>
      </c>
      <c r="K24" s="644" t="n">
        <f aca="true">TABLE($B$11,$C$6,$B24,$C$5,K$11)</f>
        <v>5304586.25476167</v>
      </c>
      <c r="L24" s="644" t="n">
        <f aca="true">TABLE($B$11,$C$6,$B24,$C$5,L$11)</f>
        <v>5700870.33564534</v>
      </c>
      <c r="M24" s="644" t="n">
        <f aca="true">TABLE($B$11,$C$6,$B24,$C$5,M$11)</f>
        <v>6097154.41652902</v>
      </c>
      <c r="N24" s="184"/>
      <c r="O24" s="184"/>
      <c r="P24" s="184"/>
      <c r="Q24" s="184"/>
      <c r="R24" s="184"/>
      <c r="S24" s="184"/>
      <c r="T24" s="184"/>
      <c r="U24" s="184"/>
      <c r="V24" s="184"/>
    </row>
    <row r="25" customFormat="false" ht="12.75" hidden="false" customHeight="false" outlineLevel="0" collapsed="false">
      <c r="A25" s="639"/>
      <c r="B25" s="645" t="n">
        <v>0.125</v>
      </c>
      <c r="C25" s="646" t="n">
        <f aca="true">TABLE($B$11,$C$6,$B25,$C$5,C$11)</f>
        <v>1963198.20082399</v>
      </c>
      <c r="D25" s="646" t="n">
        <f aca="true">TABLE($B$11,$C$6,$B25,$C$5,D$11)</f>
        <v>2342217.76586079</v>
      </c>
      <c r="E25" s="646" t="n">
        <f aca="true">TABLE($B$11,$C$6,$B25,$C$5,E$11)</f>
        <v>2721237.33089759</v>
      </c>
      <c r="F25" s="646" t="n">
        <f aca="true">TABLE($B$11,$C$6,$B25,$C$5,F$11)</f>
        <v>3100256.89593439</v>
      </c>
      <c r="G25" s="646" t="n">
        <f aca="true">TABLE($B$11,$C$6,$B25,$C$5,G$11)</f>
        <v>3479276.46097119</v>
      </c>
      <c r="H25" s="649" t="n">
        <f aca="true">TABLE($B$11,$C$6,$B25,$C$5,H$11)</f>
        <v>3858296.02600798</v>
      </c>
      <c r="I25" s="646" t="n">
        <f aca="true">TABLE($B$11,$C$6,$B25,$C$5,I$11)</f>
        <v>4237315.59104478</v>
      </c>
      <c r="J25" s="646" t="n">
        <f aca="true">TABLE($B$11,$C$6,$B25,$C$5,J$11)</f>
        <v>4616335.15608158</v>
      </c>
      <c r="K25" s="646" t="n">
        <f aca="true">TABLE($B$11,$C$6,$B25,$C$5,K$11)</f>
        <v>4995354.72111838</v>
      </c>
      <c r="L25" s="646" t="n">
        <f aca="true">TABLE($B$11,$C$6,$B25,$C$5,L$11)</f>
        <v>5374374.28615518</v>
      </c>
      <c r="M25" s="646" t="n">
        <f aca="true">TABLE($B$11,$C$6,$B25,$C$5,M$11)</f>
        <v>5753393.85119198</v>
      </c>
      <c r="N25" s="184"/>
      <c r="O25" s="184"/>
      <c r="P25" s="184"/>
      <c r="Q25" s="184"/>
      <c r="R25" s="184"/>
      <c r="S25" s="184"/>
      <c r="T25" s="184"/>
      <c r="U25" s="184"/>
      <c r="V25" s="184"/>
    </row>
    <row r="26" customFormat="false" ht="12.75" hidden="false" customHeight="false" outlineLevel="0" collapsed="false">
      <c r="A26" s="639"/>
      <c r="B26" s="643" t="n">
        <v>0.13</v>
      </c>
      <c r="C26" s="644" t="n">
        <f aca="true">TABLE($B$11,$C$6,$B26,$C$5,C$11)</f>
        <v>1798945.34995528</v>
      </c>
      <c r="D26" s="644" t="n">
        <f aca="true">TABLE($B$11,$C$6,$B26,$C$5,D$11)</f>
        <v>2161524.15933814</v>
      </c>
      <c r="E26" s="644" t="n">
        <f aca="true">TABLE($B$11,$C$6,$B26,$C$5,E$11)</f>
        <v>2524102.968721</v>
      </c>
      <c r="F26" s="644" t="n">
        <f aca="true">TABLE($B$11,$C$6,$B26,$C$5,F$11)</f>
        <v>2886681.77810386</v>
      </c>
      <c r="G26" s="644" t="n">
        <f aca="true">TABLE($B$11,$C$6,$B26,$C$5,G$11)</f>
        <v>3249260.58748672</v>
      </c>
      <c r="H26" s="644" t="n">
        <f aca="true">TABLE($B$11,$C$6,$B26,$C$5,H$11)</f>
        <v>3611839.39686959</v>
      </c>
      <c r="I26" s="644" t="n">
        <f aca="true">TABLE($B$11,$C$6,$B26,$C$5,I$11)</f>
        <v>3974418.20625245</v>
      </c>
      <c r="J26" s="644" t="n">
        <f aca="true">TABLE($B$11,$C$6,$B26,$C$5,J$11)</f>
        <v>4336997.01563531</v>
      </c>
      <c r="K26" s="644" t="n">
        <f aca="true">TABLE($B$11,$C$6,$B26,$C$5,K$11)</f>
        <v>4699575.82501817</v>
      </c>
      <c r="L26" s="644" t="n">
        <f aca="true">TABLE($B$11,$C$6,$B26,$C$5,L$11)</f>
        <v>5062154.63440103</v>
      </c>
      <c r="M26" s="644" t="n">
        <f aca="true">TABLE($B$11,$C$6,$B26,$C$5,M$11)</f>
        <v>5424733.44378389</v>
      </c>
      <c r="N26" s="184"/>
      <c r="O26" s="184"/>
      <c r="P26" s="184"/>
      <c r="Q26" s="184"/>
      <c r="R26" s="184"/>
      <c r="S26" s="184"/>
      <c r="T26" s="184"/>
      <c r="U26" s="184"/>
      <c r="V26" s="184"/>
    </row>
    <row r="27" customFormat="false" ht="12.75" hidden="false" customHeight="false" outlineLevel="0" collapsed="false">
      <c r="A27" s="639"/>
      <c r="B27" s="645" t="n">
        <v>0.135</v>
      </c>
      <c r="C27" s="646" t="n">
        <f aca="true">TABLE($B$11,$C$6,$B27,$C$5,C$11)</f>
        <v>1641231.5501129</v>
      </c>
      <c r="D27" s="646" t="n">
        <f aca="true">TABLE($B$11,$C$6,$B27,$C$5,D$11)</f>
        <v>1988150.67169604</v>
      </c>
      <c r="E27" s="646" t="n">
        <f aca="true">TABLE($B$11,$C$6,$B27,$C$5,E$11)</f>
        <v>2335069.79327917</v>
      </c>
      <c r="F27" s="646" t="n">
        <f aca="true">TABLE($B$11,$C$6,$B27,$C$5,F$11)</f>
        <v>2681988.9148623</v>
      </c>
      <c r="G27" s="646" t="n">
        <f aca="true">TABLE($B$11,$C$6,$B27,$C$5,G$11)</f>
        <v>3028908.03644543</v>
      </c>
      <c r="H27" s="646" t="n">
        <f aca="true">TABLE($B$11,$C$6,$B27,$C$5,H$11)</f>
        <v>3375827.15802856</v>
      </c>
      <c r="I27" s="646" t="n">
        <f aca="true">TABLE($B$11,$C$6,$B27,$C$5,I$11)</f>
        <v>3722746.27961169</v>
      </c>
      <c r="J27" s="646" t="n">
        <f aca="true">TABLE($B$11,$C$6,$B27,$C$5,J$11)</f>
        <v>4069665.40119483</v>
      </c>
      <c r="K27" s="646" t="n">
        <f aca="true">TABLE($B$11,$C$6,$B27,$C$5,K$11)</f>
        <v>4416584.52277796</v>
      </c>
      <c r="L27" s="646" t="n">
        <f aca="true">TABLE($B$11,$C$6,$B27,$C$5,L$11)</f>
        <v>4763503.64436109</v>
      </c>
      <c r="M27" s="646" t="n">
        <f aca="true">TABLE($B$11,$C$6,$B27,$C$5,M$11)</f>
        <v>5110422.76594422</v>
      </c>
      <c r="N27" s="184"/>
      <c r="O27" s="184"/>
      <c r="P27" s="184"/>
      <c r="Q27" s="184"/>
      <c r="R27" s="184"/>
      <c r="S27" s="184"/>
      <c r="T27" s="184"/>
      <c r="U27" s="184"/>
      <c r="V27" s="184"/>
    </row>
    <row r="28" customFormat="false" ht="12.75" hidden="false" customHeight="false" outlineLevel="0" collapsed="false">
      <c r="A28" s="639"/>
      <c r="B28" s="650" t="n">
        <v>0.14</v>
      </c>
      <c r="C28" s="651" t="n">
        <f aca="true">TABLE($B$11,$C$6,$B28,$C$5,C$11)</f>
        <v>1489750.34966549</v>
      </c>
      <c r="D28" s="651" t="n">
        <f aca="true">TABLE($B$11,$C$6,$B28,$C$5,D$11)</f>
        <v>1821750.54558596</v>
      </c>
      <c r="E28" s="651" t="n">
        <f aca="true">TABLE($B$11,$C$6,$B28,$C$5,E$11)</f>
        <v>2153750.74150642</v>
      </c>
      <c r="F28" s="651" t="n">
        <f aca="true">TABLE($B$11,$C$6,$B28,$C$5,F$11)</f>
        <v>2485750.93742689</v>
      </c>
      <c r="G28" s="651" t="n">
        <f aca="true">TABLE($B$11,$C$6,$B28,$C$5,G$11)</f>
        <v>2817751.13334735</v>
      </c>
      <c r="H28" s="651" t="n">
        <f aca="true">TABLE($B$11,$C$6,$B28,$C$5,H$11)</f>
        <v>3149751.32926782</v>
      </c>
      <c r="I28" s="651" t="n">
        <f aca="true">TABLE($B$11,$C$6,$B28,$C$5,I$11)</f>
        <v>3481751.52518828</v>
      </c>
      <c r="J28" s="651" t="n">
        <f aca="true">TABLE($B$11,$C$6,$B28,$C$5,J$11)</f>
        <v>3813751.72110875</v>
      </c>
      <c r="K28" s="651" t="n">
        <f aca="true">TABLE($B$11,$C$6,$B28,$C$5,K$11)</f>
        <v>4145751.91702921</v>
      </c>
      <c r="L28" s="651" t="n">
        <f aca="true">TABLE($B$11,$C$6,$B28,$C$5,L$11)</f>
        <v>4477752.11294967</v>
      </c>
      <c r="M28" s="651" t="n">
        <f aca="true">TABLE($B$11,$C$6,$B28,$C$5,M$11)</f>
        <v>4809752.30887014</v>
      </c>
      <c r="N28" s="184"/>
      <c r="O28" s="184"/>
      <c r="P28" s="184"/>
      <c r="Q28" s="184"/>
      <c r="R28" s="184"/>
      <c r="S28" s="184"/>
      <c r="T28" s="184"/>
      <c r="U28" s="184"/>
      <c r="V28" s="184"/>
    </row>
    <row r="29" customFormat="false" ht="12.75" hidden="false" customHeight="false" outlineLevel="0" collapsed="false">
      <c r="A29" s="652"/>
      <c r="B29" s="653" t="n">
        <v>0.145</v>
      </c>
      <c r="C29" s="646" t="n">
        <f aca="true">TABLE($B$11,$C$6,$B29,$C$5,C$11)</f>
        <v>1344211.36780216</v>
      </c>
      <c r="D29" s="646" t="n">
        <f aca="true">TABLE($B$11,$C$6,$B29,$C$5,D$11)</f>
        <v>1661995.33803681</v>
      </c>
      <c r="E29" s="646" t="n">
        <f aca="true">TABLE($B$11,$C$6,$B29,$C$5,E$11)</f>
        <v>1979779.30827146</v>
      </c>
      <c r="F29" s="646" t="n">
        <f aca="true">TABLE($B$11,$C$6,$B29,$C$5,F$11)</f>
        <v>2297563.27850611</v>
      </c>
      <c r="G29" s="646" t="n">
        <f aca="true">TABLE($B$11,$C$6,$B29,$C$5,G$11)</f>
        <v>2615347.24874076</v>
      </c>
      <c r="H29" s="646" t="n">
        <f aca="true">TABLE($B$11,$C$6,$B29,$C$5,H$11)</f>
        <v>2933131.21897541</v>
      </c>
      <c r="I29" s="646" t="n">
        <f aca="true">TABLE($B$11,$C$6,$B29,$C$5,I$11)</f>
        <v>3250915.18921006</v>
      </c>
      <c r="J29" s="646" t="n">
        <f aca="true">TABLE($B$11,$C$6,$B29,$C$5,J$11)</f>
        <v>3568699.15944471</v>
      </c>
      <c r="K29" s="646" t="n">
        <f aca="true">TABLE($B$11,$C$6,$B29,$C$5,K$11)</f>
        <v>3886483.12967936</v>
      </c>
      <c r="L29" s="646" t="n">
        <f aca="true">TABLE($B$11,$C$6,$B29,$C$5,L$11)</f>
        <v>4204267.09991401</v>
      </c>
      <c r="M29" s="646" t="n">
        <f aca="true">TABLE($B$11,$C$6,$B29,$C$5,M$11)</f>
        <v>4522051.07014866</v>
      </c>
      <c r="N29" s="184"/>
      <c r="O29" s="184"/>
      <c r="P29" s="184"/>
      <c r="Q29" s="184"/>
      <c r="R29" s="184"/>
      <c r="S29" s="184"/>
      <c r="T29" s="184"/>
      <c r="U29" s="184"/>
      <c r="V29" s="184"/>
    </row>
    <row r="31" customFormat="false" ht="15.75" hidden="false" customHeight="false" outlineLevel="0" collapsed="false">
      <c r="A31" s="284" t="s">
        <v>317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</row>
    <row r="32" customFormat="false" ht="13.5" hidden="false" customHeight="false" outlineLevel="0" collapsed="false">
      <c r="A32" s="654" t="s">
        <v>311</v>
      </c>
      <c r="B32" s="483"/>
      <c r="C32" s="655" t="n">
        <v>1</v>
      </c>
      <c r="D32" s="655" t="n">
        <v>2</v>
      </c>
      <c r="E32" s="655" t="n">
        <v>3</v>
      </c>
      <c r="F32" s="655" t="n">
        <v>4</v>
      </c>
      <c r="G32" s="655" t="n">
        <v>5</v>
      </c>
      <c r="H32" s="655" t="n">
        <v>6</v>
      </c>
      <c r="I32" s="655" t="n">
        <v>7</v>
      </c>
      <c r="J32" s="655" t="n">
        <v>8</v>
      </c>
      <c r="K32" s="655" t="n">
        <v>9</v>
      </c>
      <c r="L32" s="655" t="n">
        <v>10</v>
      </c>
      <c r="M32" s="655" t="n">
        <v>11</v>
      </c>
      <c r="N32" s="655" t="n">
        <v>12</v>
      </c>
      <c r="O32" s="655" t="n">
        <v>13</v>
      </c>
      <c r="P32" s="655" t="n">
        <v>14</v>
      </c>
      <c r="Q32" s="656" t="n">
        <v>15</v>
      </c>
    </row>
    <row r="33" customFormat="false" ht="13.5" hidden="false" customHeight="false" outlineLevel="0" collapsed="false">
      <c r="A33" s="17" t="s">
        <v>318</v>
      </c>
      <c r="B33" s="16"/>
      <c r="C33" s="184" t="n">
        <f aca="false">'Unlev. Consolid'!$R$32*Scenarios!C32</f>
        <v>1230798.20260789</v>
      </c>
      <c r="D33" s="184" t="n">
        <f aca="false">'Unlev. Consolid'!$R$32*Scenarios!D32</f>
        <v>2461596.40521577</v>
      </c>
      <c r="E33" s="184" t="n">
        <f aca="false">'Unlev. Consolid'!$R$32*Scenarios!E32</f>
        <v>3692394.60782366</v>
      </c>
      <c r="F33" s="184" t="n">
        <f aca="false">'Unlev. Consolid'!$R$32*Scenarios!F32</f>
        <v>4923192.81043155</v>
      </c>
      <c r="G33" s="184" t="n">
        <f aca="false">'Unlev. Consolid'!$R$32*Scenarios!G32</f>
        <v>6153991.01303944</v>
      </c>
      <c r="H33" s="184" t="n">
        <f aca="false">'Unlev. Consolid'!$R$32*Scenarios!H32</f>
        <v>7384789.21564732</v>
      </c>
      <c r="I33" s="184" t="n">
        <f aca="false">'Unlev. Consolid'!$R$32*Scenarios!I32</f>
        <v>8615587.41825521</v>
      </c>
      <c r="J33" s="184" t="n">
        <f aca="false">'Unlev. Consolid'!$R$32*Scenarios!J32</f>
        <v>9846385.6208631</v>
      </c>
      <c r="K33" s="184" t="n">
        <f aca="false">'Unlev. Consolid'!$R$32*Scenarios!K32</f>
        <v>11077183.823471</v>
      </c>
      <c r="L33" s="184" t="n">
        <f aca="false">'Unlev. Consolid'!$R$32*Scenarios!L32</f>
        <v>12307982.0260789</v>
      </c>
      <c r="M33" s="184" t="n">
        <f aca="false">'Unlev. Consolid'!$R$32*Scenarios!M32</f>
        <v>13538780.2286868</v>
      </c>
      <c r="N33" s="184" t="n">
        <f aca="false">'Unlev. Consolid'!$R$32*Scenarios!N32</f>
        <v>14769578.4312946</v>
      </c>
      <c r="O33" s="184" t="n">
        <f aca="false">'Unlev. Consolid'!$R$32*Scenarios!O32</f>
        <v>16000376.6339025</v>
      </c>
      <c r="P33" s="184" t="n">
        <f aca="false">'Unlev. Consolid'!$R$32*Scenarios!P32</f>
        <v>17231174.8365104</v>
      </c>
      <c r="Q33" s="657" t="n">
        <f aca="false">'Unlev. Consolid'!$R$32*Scenarios!Q32</f>
        <v>18461973.0391183</v>
      </c>
    </row>
    <row r="34" customFormat="false" ht="12.75" hidden="false" customHeight="false" outlineLevel="0" collapsed="false">
      <c r="A34" s="17" t="s">
        <v>319</v>
      </c>
      <c r="B34" s="16"/>
      <c r="C34" s="158" t="n">
        <f aca="false">'Unlev. Consolid'!R111-'Unlev. Consolid'!S111</f>
        <v>776201.265100434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64"/>
    </row>
    <row r="35" customFormat="false" ht="12.75" hidden="false" customHeight="false" outlineLevel="0" collapsed="false">
      <c r="A35" s="74" t="s">
        <v>320</v>
      </c>
      <c r="B35" s="75"/>
      <c r="C35" s="658" t="n">
        <v>0.085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109"/>
    </row>
    <row r="36" customFormat="false" ht="12.75" hidden="false" customHeight="false" outlineLevel="0" collapsed="false">
      <c r="A36" s="222" t="s">
        <v>321</v>
      </c>
      <c r="B36" s="75"/>
      <c r="C36" s="653" t="n">
        <f aca="false">(-$C$34/C33)+$C$35</f>
        <v>-0.545648682664448</v>
      </c>
      <c r="D36" s="653" t="n">
        <f aca="false">(-$C$34/D33)+$C$35</f>
        <v>-0.230324341332224</v>
      </c>
      <c r="E36" s="653" t="n">
        <f aca="false">(-$C$34/E33)+$C$35</f>
        <v>-0.125216227554816</v>
      </c>
      <c r="F36" s="653" t="n">
        <f aca="false">(-$C$34/F33)+$C$35</f>
        <v>-0.072662170666112</v>
      </c>
      <c r="G36" s="653" t="n">
        <f aca="false">(-$C$34/G33)+$C$35</f>
        <v>-0.0411297365328896</v>
      </c>
      <c r="H36" s="653" t="n">
        <f aca="false">(-$C$34/H33)+$C$35</f>
        <v>-0.020108113777408</v>
      </c>
      <c r="I36" s="653" t="n">
        <f aca="false">(-$C$34/I33)+$C$35</f>
        <v>-0.00509266895206398</v>
      </c>
      <c r="J36" s="653" t="n">
        <f aca="false">(-$C$34/J33)+$C$35</f>
        <v>0.00616891466694401</v>
      </c>
      <c r="K36" s="653" t="n">
        <f aca="false">(-$C$34/K33)+$C$35</f>
        <v>0.0149279241483947</v>
      </c>
      <c r="L36" s="653" t="n">
        <f aca="false">(-$C$34/L33)+$C$35</f>
        <v>0.0219351317335552</v>
      </c>
      <c r="M36" s="653" t="n">
        <f aca="false">(-$C$34/M33)+$C$35</f>
        <v>0.0276683015759593</v>
      </c>
      <c r="N36" s="653" t="n">
        <f aca="false">(-$C$34/N33)+$C$35</f>
        <v>0.032445943111296</v>
      </c>
      <c r="O36" s="653" t="n">
        <f aca="false">(-$C$34/O33)+$C$35</f>
        <v>0.0364885628719656</v>
      </c>
      <c r="P36" s="653" t="n">
        <f aca="false">(-$C$34/P33)+$C$35</f>
        <v>0.039953665523968</v>
      </c>
      <c r="Q36" s="659" t="n">
        <f aca="false">(-$C$34/Q33)+$C$35</f>
        <v>0.0429567544890368</v>
      </c>
    </row>
    <row r="37" customFormat="false" ht="12.75" hidden="false" customHeight="false" outlineLevel="0" collapsed="false">
      <c r="A37" s="25"/>
      <c r="B37" s="16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</row>
    <row r="38" customFormat="false" ht="15.75" hidden="false" customHeight="false" outlineLevel="0" collapsed="false">
      <c r="A38" s="284" t="s">
        <v>322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</row>
    <row r="39" customFormat="false" ht="13.5" hidden="false" customHeight="false" outlineLevel="0" collapsed="false">
      <c r="A39" s="654" t="s">
        <v>311</v>
      </c>
      <c r="B39" s="483"/>
      <c r="C39" s="655" t="n">
        <v>1</v>
      </c>
      <c r="D39" s="655" t="n">
        <v>2</v>
      </c>
      <c r="E39" s="655" t="n">
        <v>3</v>
      </c>
      <c r="F39" s="655" t="n">
        <v>4</v>
      </c>
      <c r="G39" s="655" t="n">
        <v>5</v>
      </c>
      <c r="H39" s="655" t="n">
        <v>6</v>
      </c>
      <c r="I39" s="655" t="n">
        <v>7</v>
      </c>
      <c r="J39" s="655" t="n">
        <v>8</v>
      </c>
      <c r="K39" s="655" t="n">
        <v>9</v>
      </c>
      <c r="L39" s="655" t="n">
        <v>10</v>
      </c>
      <c r="M39" s="655" t="n">
        <v>11</v>
      </c>
      <c r="N39" s="655" t="n">
        <v>12</v>
      </c>
      <c r="O39" s="655" t="n">
        <v>13</v>
      </c>
      <c r="P39" s="655" t="n">
        <v>14</v>
      </c>
      <c r="Q39" s="656" t="n">
        <v>15</v>
      </c>
    </row>
    <row r="40" customFormat="false" ht="13.5" hidden="false" customHeight="false" outlineLevel="0" collapsed="false">
      <c r="A40" s="17" t="s">
        <v>318</v>
      </c>
      <c r="B40" s="16"/>
      <c r="C40" s="184" t="n">
        <f aca="false">'Unlev. Consolid'!$R$32*Scenarios!C39</f>
        <v>1230798.20260789</v>
      </c>
      <c r="D40" s="184" t="n">
        <f aca="false">'Unlev. Consolid'!$R$32*Scenarios!D39</f>
        <v>2461596.40521577</v>
      </c>
      <c r="E40" s="184" t="n">
        <f aca="false">'Unlev. Consolid'!$R$32*Scenarios!E39</f>
        <v>3692394.60782366</v>
      </c>
      <c r="F40" s="184" t="n">
        <f aca="false">'Unlev. Consolid'!$R$32*Scenarios!F39</f>
        <v>4923192.81043155</v>
      </c>
      <c r="G40" s="184" t="n">
        <f aca="false">'Unlev. Consolid'!$R$32*Scenarios!G39</f>
        <v>6153991.01303944</v>
      </c>
      <c r="H40" s="184" t="n">
        <f aca="false">'Unlev. Consolid'!$R$32*Scenarios!H39</f>
        <v>7384789.21564732</v>
      </c>
      <c r="I40" s="184" t="n">
        <f aca="false">'Unlev. Consolid'!$R$32*Scenarios!I39</f>
        <v>8615587.41825521</v>
      </c>
      <c r="J40" s="184" t="n">
        <f aca="false">'Unlev. Consolid'!$R$32*Scenarios!J39</f>
        <v>9846385.6208631</v>
      </c>
      <c r="K40" s="184" t="n">
        <f aca="false">'Unlev. Consolid'!$R$32*Scenarios!K39</f>
        <v>11077183.823471</v>
      </c>
      <c r="L40" s="184" t="n">
        <f aca="false">'Unlev. Consolid'!$R$32*Scenarios!L39</f>
        <v>12307982.0260789</v>
      </c>
      <c r="M40" s="184" t="n">
        <f aca="false">'Unlev. Consolid'!$R$32*Scenarios!M39</f>
        <v>13538780.2286868</v>
      </c>
      <c r="N40" s="184" t="n">
        <f aca="false">'Unlev. Consolid'!$R$32*Scenarios!N39</f>
        <v>14769578.4312946</v>
      </c>
      <c r="O40" s="184" t="n">
        <f aca="false">'Unlev. Consolid'!$R$32*Scenarios!O39</f>
        <v>16000376.6339025</v>
      </c>
      <c r="P40" s="184" t="n">
        <f aca="false">'Unlev. Consolid'!$R$32*Scenarios!P39</f>
        <v>17231174.8365104</v>
      </c>
      <c r="Q40" s="657" t="n">
        <f aca="false">'Unlev. Consolid'!$R$32*Scenarios!Q39</f>
        <v>18461973.0391183</v>
      </c>
    </row>
    <row r="41" customFormat="false" ht="12.75" hidden="false" customHeight="false" outlineLevel="0" collapsed="false">
      <c r="A41" s="17" t="s">
        <v>319</v>
      </c>
      <c r="B41" s="16"/>
      <c r="C41" s="158" t="n">
        <f aca="false">'Unlev. Consolid'!R111-'Unlev. Consolid'!S111</f>
        <v>776201.265100434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64"/>
    </row>
    <row r="42" customFormat="false" ht="12.75" hidden="false" customHeight="false" outlineLevel="0" collapsed="false">
      <c r="A42" s="74" t="s">
        <v>320</v>
      </c>
      <c r="B42" s="75"/>
      <c r="C42" s="658" t="n">
        <v>0.125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109"/>
    </row>
    <row r="43" customFormat="false" ht="12.75" hidden="false" customHeight="false" outlineLevel="0" collapsed="false">
      <c r="A43" s="215" t="s">
        <v>321</v>
      </c>
      <c r="B43" s="197"/>
      <c r="C43" s="660" t="n">
        <f aca="false">(-$C$34/C40)+$C$42</f>
        <v>-0.505648682664448</v>
      </c>
      <c r="D43" s="660" t="n">
        <f aca="false">(-$C$34/D40)+$C$42</f>
        <v>-0.190324341332224</v>
      </c>
      <c r="E43" s="660" t="n">
        <f aca="false">(-$C$34/E40)+$C$42</f>
        <v>-0.085216227554816</v>
      </c>
      <c r="F43" s="660" t="n">
        <f aca="false">(-$C$34/F40)+$C$42</f>
        <v>-0.032662170666112</v>
      </c>
      <c r="G43" s="660" t="n">
        <f aca="false">(-$C$34/G40)+$C$42</f>
        <v>-0.00112973653288959</v>
      </c>
      <c r="H43" s="660" t="n">
        <f aca="false">(-$C$34/H40)+$C$42</f>
        <v>0.019891886222592</v>
      </c>
      <c r="I43" s="660" t="n">
        <f aca="false">(-$C$34/I40)+$C$42</f>
        <v>0.034907331047936</v>
      </c>
      <c r="J43" s="660" t="n">
        <f aca="false">(-$C$34/J40)+$C$42</f>
        <v>0.046168914666944</v>
      </c>
      <c r="K43" s="660" t="n">
        <f aca="false">(-$C$34/K40)+$C$42</f>
        <v>0.0549279241483947</v>
      </c>
      <c r="L43" s="661" t="n">
        <f aca="false">(-$C$34/L40)+$C$42</f>
        <v>0.0619351317335552</v>
      </c>
      <c r="M43" s="660" t="n">
        <f aca="false">(-$C$34/M40)+$C$42</f>
        <v>0.0676683015759593</v>
      </c>
      <c r="N43" s="660" t="n">
        <f aca="false">(-$C$34/N40)+$C$42</f>
        <v>0.072445943111296</v>
      </c>
      <c r="O43" s="660" t="n">
        <f aca="false">(-$C$34/O40)+$C$42</f>
        <v>0.0764885628719655</v>
      </c>
      <c r="P43" s="660" t="n">
        <f aca="false">(-$C$34/P40)+$C$42</f>
        <v>0.079953665523968</v>
      </c>
      <c r="Q43" s="662" t="n">
        <f aca="false">(-$C$34/Q40)+$C$42</f>
        <v>0.0829567544890368</v>
      </c>
    </row>
    <row r="45" customFormat="false" ht="12.75" hidden="true" customHeight="false" outlineLevel="1" collapsed="false">
      <c r="A45" s="65" t="s">
        <v>73</v>
      </c>
      <c r="B45" s="663" t="n">
        <v>0.075</v>
      </c>
    </row>
    <row r="46" customFormat="false" ht="12.75" hidden="true" customHeight="false" outlineLevel="1" collapsed="false">
      <c r="A46" s="74" t="s">
        <v>323</v>
      </c>
      <c r="B46" s="664" t="n">
        <v>0.6</v>
      </c>
    </row>
    <row r="47" customFormat="false" ht="12.75" hidden="true" customHeight="false" outlineLevel="1" collapsed="false"/>
    <row r="48" customFormat="false" ht="15.75" hidden="true" customHeight="false" outlineLevel="1" collapsed="false">
      <c r="A48" s="284" t="s">
        <v>324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204"/>
      <c r="O48" s="204"/>
      <c r="P48" s="204"/>
      <c r="Q48" s="204"/>
    </row>
    <row r="49" customFormat="false" ht="12.75" hidden="true" customHeight="false" outlineLevel="1" collapsed="false">
      <c r="A49" s="65"/>
      <c r="B49" s="66"/>
      <c r="C49" s="88" t="s">
        <v>325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customFormat="false" ht="13.5" hidden="true" customHeight="false" outlineLevel="1" collapsed="false">
      <c r="A50" s="17"/>
      <c r="B50" s="665" t="n">
        <f aca="false">'Lev. Consolid'!G9</f>
        <v>0</v>
      </c>
      <c r="C50" s="666" t="n">
        <v>0</v>
      </c>
      <c r="D50" s="666" t="n">
        <v>0.1</v>
      </c>
      <c r="E50" s="666" t="n">
        <v>0.2</v>
      </c>
      <c r="F50" s="666" t="n">
        <v>0.3</v>
      </c>
      <c r="G50" s="666" t="n">
        <v>0.4</v>
      </c>
      <c r="H50" s="666" t="n">
        <v>0.5</v>
      </c>
      <c r="I50" s="666" t="n">
        <v>0.6</v>
      </c>
      <c r="J50" s="666" t="n">
        <v>0.7</v>
      </c>
      <c r="K50" s="666" t="n">
        <v>0.8</v>
      </c>
      <c r="L50" s="666" t="n">
        <v>0.9</v>
      </c>
      <c r="M50" s="667" t="n">
        <v>1</v>
      </c>
    </row>
    <row r="51" customFormat="false" ht="13.5" hidden="true" customHeight="false" outlineLevel="1" collapsed="false">
      <c r="A51" s="17"/>
      <c r="B51" s="668" t="n">
        <v>0.06</v>
      </c>
      <c r="C51" s="669" t="n">
        <f aca="true">TABLE($B$50,$B$45,$B51,$B$46,C$50)</f>
        <v>0</v>
      </c>
      <c r="D51" s="669" t="n">
        <f aca="true">TABLE($B$50,$B$45,$B51,$B$46,D$50)</f>
        <v>0</v>
      </c>
      <c r="E51" s="669" t="n">
        <f aca="true">TABLE($B$50,$B$45,$B51,$B$46,E$50)</f>
        <v>0</v>
      </c>
      <c r="F51" s="669" t="n">
        <f aca="true">TABLE($B$50,$B$45,$B51,$B$46,F$50)</f>
        <v>0</v>
      </c>
      <c r="G51" s="669" t="n">
        <f aca="true">TABLE($B$50,$B$45,$B51,$B$46,G$50)</f>
        <v>0</v>
      </c>
      <c r="H51" s="669" t="n">
        <f aca="true">TABLE($B$50,$B$45,$B51,$B$46,H$50)</f>
        <v>0</v>
      </c>
      <c r="I51" s="669" t="n">
        <f aca="true">TABLE($B$50,$B$45,$B51,$B$46,I$50)</f>
        <v>0</v>
      </c>
      <c r="J51" s="669" t="n">
        <f aca="true">TABLE($B$50,$B$45,$B51,$B$46,J$50)</f>
        <v>0</v>
      </c>
      <c r="K51" s="669" t="n">
        <f aca="true">TABLE($B$50,$B$45,$B51,$B$46,K$50)</f>
        <v>0</v>
      </c>
      <c r="L51" s="669" t="n">
        <f aca="true">TABLE($B$50,$B$45,$B51,$B$46,L$50)</f>
        <v>0</v>
      </c>
      <c r="M51" s="670" t="n">
        <f aca="true">TABLE($B$50,$B$45,$B51,$B$46,M$50)</f>
        <v>0</v>
      </c>
    </row>
    <row r="52" customFormat="false" ht="12.75" hidden="true" customHeight="false" outlineLevel="1" collapsed="false">
      <c r="A52" s="17"/>
      <c r="B52" s="668" t="n">
        <v>0.065</v>
      </c>
      <c r="C52" s="669" t="n">
        <f aca="true">TABLE($B$50,$B$45,$B52,$B$46,C$50)</f>
        <v>0</v>
      </c>
      <c r="D52" s="669" t="n">
        <f aca="true">TABLE($B$50,$B$45,$B52,$B$46,D$50)</f>
        <v>0</v>
      </c>
      <c r="E52" s="669" t="n">
        <f aca="true">TABLE($B$50,$B$45,$B52,$B$46,E$50)</f>
        <v>0</v>
      </c>
      <c r="F52" s="669" t="n">
        <f aca="true">TABLE($B$50,$B$45,$B52,$B$46,F$50)</f>
        <v>0</v>
      </c>
      <c r="G52" s="669" t="n">
        <f aca="true">TABLE($B$50,$B$45,$B52,$B$46,G$50)</f>
        <v>0</v>
      </c>
      <c r="H52" s="669" t="n">
        <f aca="true">TABLE($B$50,$B$45,$B52,$B$46,H$50)</f>
        <v>0</v>
      </c>
      <c r="I52" s="669" t="n">
        <f aca="true">TABLE($B$50,$B$45,$B52,$B$46,I$50)</f>
        <v>0</v>
      </c>
      <c r="J52" s="669" t="n">
        <f aca="true">TABLE($B$50,$B$45,$B52,$B$46,J$50)</f>
        <v>0</v>
      </c>
      <c r="K52" s="669" t="n">
        <f aca="true">TABLE($B$50,$B$45,$B52,$B$46,K$50)</f>
        <v>0</v>
      </c>
      <c r="L52" s="669" t="n">
        <f aca="true">TABLE($B$50,$B$45,$B52,$B$46,L$50)</f>
        <v>0</v>
      </c>
      <c r="M52" s="670" t="n">
        <f aca="true">TABLE($B$50,$B$45,$B52,$B$46,M$50)</f>
        <v>0</v>
      </c>
    </row>
    <row r="53" customFormat="false" ht="12.75" hidden="true" customHeight="false" outlineLevel="1" collapsed="false">
      <c r="A53" s="17"/>
      <c r="B53" s="668" t="n">
        <v>0.07</v>
      </c>
      <c r="C53" s="669" t="n">
        <f aca="true">TABLE($B$50,$B$45,$B53,$B$46,C$50)</f>
        <v>0</v>
      </c>
      <c r="D53" s="669" t="n">
        <f aca="true">TABLE($B$50,$B$45,$B53,$B$46,D$50)</f>
        <v>0</v>
      </c>
      <c r="E53" s="669" t="n">
        <f aca="true">TABLE($B$50,$B$45,$B53,$B$46,E$50)</f>
        <v>0</v>
      </c>
      <c r="F53" s="669" t="n">
        <f aca="true">TABLE($B$50,$B$45,$B53,$B$46,F$50)</f>
        <v>0</v>
      </c>
      <c r="G53" s="669" t="n">
        <f aca="true">TABLE($B$50,$B$45,$B53,$B$46,G$50)</f>
        <v>0</v>
      </c>
      <c r="H53" s="671" t="n">
        <f aca="true">TABLE($B$50,$B$45,$B53,$B$46,H$50)</f>
        <v>0</v>
      </c>
      <c r="I53" s="671" t="n">
        <f aca="true">TABLE($B$50,$B$45,$B53,$B$46,I$50)</f>
        <v>0</v>
      </c>
      <c r="J53" s="671" t="n">
        <f aca="true">TABLE($B$50,$B$45,$B53,$B$46,J$50)</f>
        <v>0</v>
      </c>
      <c r="K53" s="669" t="n">
        <f aca="true">TABLE($B$50,$B$45,$B53,$B$46,K$50)</f>
        <v>0</v>
      </c>
      <c r="L53" s="669" t="n">
        <f aca="true">TABLE($B$50,$B$45,$B53,$B$46,L$50)</f>
        <v>0</v>
      </c>
      <c r="M53" s="670" t="n">
        <f aca="true">TABLE($B$50,$B$45,$B53,$B$46,M$50)</f>
        <v>0</v>
      </c>
    </row>
    <row r="54" customFormat="false" ht="12.75" hidden="true" customHeight="false" outlineLevel="1" collapsed="false">
      <c r="A54" s="17"/>
      <c r="B54" s="668" t="n">
        <v>0.075</v>
      </c>
      <c r="C54" s="669" t="n">
        <f aca="true">TABLE($B$50,$B$45,$B54,$B$46,C$50)</f>
        <v>0</v>
      </c>
      <c r="D54" s="669" t="n">
        <f aca="true">TABLE($B$50,$B$45,$B54,$B$46,D$50)</f>
        <v>0</v>
      </c>
      <c r="E54" s="669" t="n">
        <f aca="true">TABLE($B$50,$B$45,$B54,$B$46,E$50)</f>
        <v>0</v>
      </c>
      <c r="F54" s="669" t="n">
        <f aca="true">TABLE($B$50,$B$45,$B54,$B$46,F$50)</f>
        <v>0</v>
      </c>
      <c r="G54" s="669" t="n">
        <f aca="true">TABLE($B$50,$B$45,$B54,$B$46,G$50)</f>
        <v>0</v>
      </c>
      <c r="H54" s="672" t="n">
        <f aca="true">TABLE($B$50,$B$45,$B54,$B$46,H$50)</f>
        <v>0</v>
      </c>
      <c r="I54" s="672" t="n">
        <f aca="true">TABLE($B$50,$B$45,$B54,$B$46,I$50)</f>
        <v>0</v>
      </c>
      <c r="J54" s="672" t="n">
        <f aca="true">TABLE($B$50,$B$45,$B54,$B$46,J$50)</f>
        <v>0</v>
      </c>
      <c r="K54" s="669" t="n">
        <f aca="true">TABLE($B$50,$B$45,$B54,$B$46,K$50)</f>
        <v>0</v>
      </c>
      <c r="L54" s="669" t="n">
        <f aca="true">TABLE($B$50,$B$45,$B54,$B$46,L$50)</f>
        <v>0</v>
      </c>
      <c r="M54" s="670" t="n">
        <f aca="true">TABLE($B$50,$B$45,$B54,$B$46,M$50)</f>
        <v>0</v>
      </c>
    </row>
    <row r="55" customFormat="false" ht="12.75" hidden="true" customHeight="false" outlineLevel="1" collapsed="false">
      <c r="A55" s="228" t="s">
        <v>326</v>
      </c>
      <c r="B55" s="668" t="n">
        <v>0.08</v>
      </c>
      <c r="C55" s="669" t="n">
        <f aca="true">TABLE($B$50,$B$45,$B55,$B$46,C$50)</f>
        <v>0</v>
      </c>
      <c r="D55" s="669" t="n">
        <f aca="true">TABLE($B$50,$B$45,$B55,$B$46,D$50)</f>
        <v>0</v>
      </c>
      <c r="E55" s="669" t="n">
        <f aca="true">TABLE($B$50,$B$45,$B55,$B$46,E$50)</f>
        <v>0</v>
      </c>
      <c r="F55" s="669" t="n">
        <f aca="true">TABLE($B$50,$B$45,$B55,$B$46,F$50)</f>
        <v>0</v>
      </c>
      <c r="G55" s="669" t="n">
        <f aca="true">TABLE($B$50,$B$45,$B55,$B$46,G$50)</f>
        <v>0</v>
      </c>
      <c r="H55" s="672" t="n">
        <f aca="true">TABLE($B$50,$B$45,$B55,$B$46,H$50)</f>
        <v>0</v>
      </c>
      <c r="I55" s="672" t="n">
        <f aca="true">TABLE($B$50,$B$45,$B55,$B$46,I$50)</f>
        <v>0</v>
      </c>
      <c r="J55" s="672" t="n">
        <f aca="true">TABLE($B$50,$B$45,$B55,$B$46,J$50)</f>
        <v>0</v>
      </c>
      <c r="K55" s="669" t="n">
        <f aca="true">TABLE($B$50,$B$45,$B55,$B$46,K$50)</f>
        <v>0</v>
      </c>
      <c r="L55" s="669" t="n">
        <f aca="true">TABLE($B$50,$B$45,$B55,$B$46,L$50)</f>
        <v>0</v>
      </c>
      <c r="M55" s="670" t="n">
        <f aca="true">TABLE($B$50,$B$45,$B55,$B$46,M$50)</f>
        <v>0</v>
      </c>
    </row>
    <row r="56" customFormat="false" ht="12.75" hidden="true" customHeight="false" outlineLevel="1" collapsed="false">
      <c r="A56" s="228" t="s">
        <v>109</v>
      </c>
      <c r="B56" s="668" t="n">
        <v>0.085</v>
      </c>
      <c r="C56" s="669" t="n">
        <f aca="true">TABLE($B$50,$B$45,$B56,$B$46,C$50)</f>
        <v>0</v>
      </c>
      <c r="D56" s="669" t="n">
        <f aca="true">TABLE($B$50,$B$45,$B56,$B$46,D$50)</f>
        <v>0</v>
      </c>
      <c r="E56" s="669" t="n">
        <f aca="true">TABLE($B$50,$B$45,$B56,$B$46,E$50)</f>
        <v>0</v>
      </c>
      <c r="F56" s="669" t="n">
        <f aca="true">TABLE($B$50,$B$45,$B56,$B$46,F$50)</f>
        <v>0</v>
      </c>
      <c r="G56" s="669" t="n">
        <f aca="true">TABLE($B$50,$B$45,$B56,$B$46,G$50)</f>
        <v>0</v>
      </c>
      <c r="H56" s="673" t="n">
        <f aca="true">TABLE($B$50,$B$45,$B56,$B$46,H$50)</f>
        <v>0</v>
      </c>
      <c r="I56" s="673" t="n">
        <f aca="true">TABLE($B$50,$B$45,$B56,$B$46,I$50)</f>
        <v>0</v>
      </c>
      <c r="J56" s="673" t="n">
        <f aca="true">TABLE($B$50,$B$45,$B56,$B$46,J$50)</f>
        <v>0</v>
      </c>
      <c r="K56" s="669" t="n">
        <f aca="true">TABLE($B$50,$B$45,$B56,$B$46,K$50)</f>
        <v>0</v>
      </c>
      <c r="L56" s="669" t="n">
        <f aca="true">TABLE($B$50,$B$45,$B56,$B$46,L$50)</f>
        <v>0</v>
      </c>
      <c r="M56" s="670" t="n">
        <f aca="true">TABLE($B$50,$B$45,$B56,$B$46,M$50)</f>
        <v>0</v>
      </c>
    </row>
    <row r="57" customFormat="false" ht="12.75" hidden="true" customHeight="false" outlineLevel="1" collapsed="false">
      <c r="A57" s="17"/>
      <c r="B57" s="668" t="n">
        <v>0.09</v>
      </c>
      <c r="C57" s="669" t="n">
        <f aca="true">TABLE($B$50,$B$45,$B57,$B$46,C$50)</f>
        <v>0</v>
      </c>
      <c r="D57" s="669" t="n">
        <f aca="true">TABLE($B$50,$B$45,$B57,$B$46,D$50)</f>
        <v>0</v>
      </c>
      <c r="E57" s="669" t="n">
        <f aca="true">TABLE($B$50,$B$45,$B57,$B$46,E$50)</f>
        <v>0</v>
      </c>
      <c r="F57" s="669" t="n">
        <f aca="true">TABLE($B$50,$B$45,$B57,$B$46,F$50)</f>
        <v>0</v>
      </c>
      <c r="G57" s="669" t="n">
        <f aca="true">TABLE($B$50,$B$45,$B57,$B$46,G$50)</f>
        <v>0</v>
      </c>
      <c r="H57" s="669" t="n">
        <f aca="true">TABLE($B$50,$B$45,$B57,$B$46,H$50)</f>
        <v>0</v>
      </c>
      <c r="I57" s="669" t="n">
        <f aca="true">TABLE($B$50,$B$45,$B57,$B$46,I$50)</f>
        <v>0</v>
      </c>
      <c r="J57" s="669" t="n">
        <f aca="true">TABLE($B$50,$B$45,$B57,$B$46,J$50)</f>
        <v>0</v>
      </c>
      <c r="K57" s="669" t="n">
        <f aca="true">TABLE($B$50,$B$45,$B57,$B$46,K$50)</f>
        <v>0</v>
      </c>
      <c r="L57" s="669" t="n">
        <f aca="true">TABLE($B$50,$B$45,$B57,$B$46,L$50)</f>
        <v>0</v>
      </c>
      <c r="M57" s="670" t="n">
        <f aca="true">TABLE($B$50,$B$45,$B57,$B$46,M$50)</f>
        <v>0</v>
      </c>
    </row>
    <row r="58" customFormat="false" ht="12.75" hidden="true" customHeight="false" outlineLevel="1" collapsed="false">
      <c r="A58" s="17"/>
      <c r="B58" s="668" t="n">
        <v>0.095</v>
      </c>
      <c r="C58" s="669" t="n">
        <f aca="true">TABLE($B$50,$B$45,$B58,$B$46,C$50)</f>
        <v>0</v>
      </c>
      <c r="D58" s="669" t="n">
        <f aca="true">TABLE($B$50,$B$45,$B58,$B$46,D$50)</f>
        <v>0</v>
      </c>
      <c r="E58" s="669" t="n">
        <f aca="true">TABLE($B$50,$B$45,$B58,$B$46,E$50)</f>
        <v>0</v>
      </c>
      <c r="F58" s="669" t="n">
        <f aca="true">TABLE($B$50,$B$45,$B58,$B$46,F$50)</f>
        <v>0</v>
      </c>
      <c r="G58" s="669" t="n">
        <f aca="true">TABLE($B$50,$B$45,$B58,$B$46,G$50)</f>
        <v>0</v>
      </c>
      <c r="H58" s="669" t="n">
        <f aca="true">TABLE($B$50,$B$45,$B58,$B$46,H$50)</f>
        <v>0</v>
      </c>
      <c r="I58" s="669" t="n">
        <f aca="true">TABLE($B$50,$B$45,$B58,$B$46,I$50)</f>
        <v>0</v>
      </c>
      <c r="J58" s="669" t="n">
        <f aca="true">TABLE($B$50,$B$45,$B58,$B$46,J$50)</f>
        <v>0</v>
      </c>
      <c r="K58" s="669" t="n">
        <f aca="true">TABLE($B$50,$B$45,$B58,$B$46,K$50)</f>
        <v>0</v>
      </c>
      <c r="L58" s="669" t="n">
        <f aca="true">TABLE($B$50,$B$45,$B58,$B$46,L$50)</f>
        <v>0</v>
      </c>
      <c r="M58" s="670" t="n">
        <f aca="true">TABLE($B$50,$B$45,$B58,$B$46,M$50)</f>
        <v>0</v>
      </c>
    </row>
    <row r="59" customFormat="false" ht="12.75" hidden="true" customHeight="false" outlineLevel="1" collapsed="false">
      <c r="A59" s="17"/>
      <c r="B59" s="668" t="n">
        <v>0.1</v>
      </c>
      <c r="C59" s="669" t="n">
        <f aca="true">TABLE($B$50,$B$45,$B59,$B$46,C$50)</f>
        <v>0</v>
      </c>
      <c r="D59" s="669" t="n">
        <f aca="true">TABLE($B$50,$B$45,$B59,$B$46,D$50)</f>
        <v>0</v>
      </c>
      <c r="E59" s="669" t="n">
        <f aca="true">TABLE($B$50,$B$45,$B59,$B$46,E$50)</f>
        <v>0</v>
      </c>
      <c r="F59" s="669" t="n">
        <f aca="true">TABLE($B$50,$B$45,$B59,$B$46,F$50)</f>
        <v>0</v>
      </c>
      <c r="G59" s="669" t="n">
        <f aca="true">TABLE($B$50,$B$45,$B59,$B$46,G$50)</f>
        <v>0</v>
      </c>
      <c r="H59" s="669" t="n">
        <f aca="true">TABLE($B$50,$B$45,$B59,$B$46,H$50)</f>
        <v>0</v>
      </c>
      <c r="I59" s="669" t="n">
        <f aca="true">TABLE($B$50,$B$45,$B59,$B$46,I$50)</f>
        <v>0</v>
      </c>
      <c r="J59" s="669" t="n">
        <f aca="true">TABLE($B$50,$B$45,$B59,$B$46,J$50)</f>
        <v>0</v>
      </c>
      <c r="K59" s="669" t="n">
        <f aca="true">TABLE($B$50,$B$45,$B59,$B$46,K$50)</f>
        <v>0</v>
      </c>
      <c r="L59" s="669" t="n">
        <f aca="true">TABLE($B$50,$B$45,$B59,$B$46,L$50)</f>
        <v>0</v>
      </c>
      <c r="M59" s="670" t="n">
        <f aca="true">TABLE($B$50,$B$45,$B59,$B$46,M$50)</f>
        <v>0</v>
      </c>
    </row>
    <row r="60" customFormat="false" ht="12.75" hidden="true" customHeight="false" outlineLevel="1" collapsed="false">
      <c r="A60" s="17"/>
      <c r="B60" s="668" t="n">
        <v>0.105</v>
      </c>
      <c r="C60" s="669" t="n">
        <f aca="true">TABLE($B$50,$B$45,$B60,$B$46,C$50)</f>
        <v>0</v>
      </c>
      <c r="D60" s="669" t="n">
        <f aca="true">TABLE($B$50,$B$45,$B60,$B$46,D$50)</f>
        <v>0</v>
      </c>
      <c r="E60" s="669" t="n">
        <f aca="true">TABLE($B$50,$B$45,$B60,$B$46,E$50)</f>
        <v>0</v>
      </c>
      <c r="F60" s="669" t="n">
        <f aca="true">TABLE($B$50,$B$45,$B60,$B$46,F$50)</f>
        <v>0</v>
      </c>
      <c r="G60" s="669" t="n">
        <f aca="true">TABLE($B$50,$B$45,$B60,$B$46,G$50)</f>
        <v>0</v>
      </c>
      <c r="H60" s="669" t="n">
        <f aca="true">TABLE($B$50,$B$45,$B60,$B$46,H$50)</f>
        <v>0</v>
      </c>
      <c r="I60" s="669" t="n">
        <f aca="true">TABLE($B$50,$B$45,$B60,$B$46,I$50)</f>
        <v>0</v>
      </c>
      <c r="J60" s="669" t="n">
        <f aca="true">TABLE($B$50,$B$45,$B60,$B$46,J$50)</f>
        <v>0</v>
      </c>
      <c r="K60" s="669" t="n">
        <f aca="true">TABLE($B$50,$B$45,$B60,$B$46,K$50)</f>
        <v>0</v>
      </c>
      <c r="L60" s="669" t="n">
        <f aca="true">TABLE($B$50,$B$45,$B60,$B$46,L$50)</f>
        <v>0</v>
      </c>
      <c r="M60" s="670" t="n">
        <f aca="true">TABLE($B$50,$B$45,$B60,$B$46,M$50)</f>
        <v>0</v>
      </c>
    </row>
    <row r="61" customFormat="false" ht="12.75" hidden="true" customHeight="false" outlineLevel="1" collapsed="false">
      <c r="A61" s="74"/>
      <c r="B61" s="674" t="n">
        <v>0.11</v>
      </c>
      <c r="C61" s="675" t="n">
        <f aca="true">TABLE($B$50,$B$45,$B61,$B$46,C$50)</f>
        <v>0</v>
      </c>
      <c r="D61" s="675" t="n">
        <f aca="true">TABLE($B$50,$B$45,$B61,$B$46,D$50)</f>
        <v>0</v>
      </c>
      <c r="E61" s="675" t="n">
        <f aca="true">TABLE($B$50,$B$45,$B61,$B$46,E$50)</f>
        <v>0</v>
      </c>
      <c r="F61" s="675" t="n">
        <f aca="true">TABLE($B$50,$B$45,$B61,$B$46,F$50)</f>
        <v>0</v>
      </c>
      <c r="G61" s="675" t="n">
        <f aca="true">TABLE($B$50,$B$45,$B61,$B$46,G$50)</f>
        <v>0</v>
      </c>
      <c r="H61" s="675" t="n">
        <f aca="true">TABLE($B$50,$B$45,$B61,$B$46,H$50)</f>
        <v>0</v>
      </c>
      <c r="I61" s="675" t="n">
        <f aca="true">TABLE($B$50,$B$45,$B61,$B$46,I$50)</f>
        <v>0</v>
      </c>
      <c r="J61" s="675" t="n">
        <f aca="true">TABLE($B$50,$B$45,$B61,$B$46,J$50)</f>
        <v>0</v>
      </c>
      <c r="K61" s="675" t="n">
        <f aca="true">TABLE($B$50,$B$45,$B61,$B$46,K$50)</f>
        <v>0</v>
      </c>
      <c r="L61" s="675" t="n">
        <f aca="true">TABLE($B$50,$B$45,$B61,$B$46,L$50)</f>
        <v>0</v>
      </c>
      <c r="M61" s="676" t="n">
        <f aca="true">TABLE($B$50,$B$45,$B61,$B$46,M$50)</f>
        <v>0</v>
      </c>
    </row>
  </sheetData>
  <mergeCells count="2">
    <mergeCell ref="C10:M10"/>
    <mergeCell ref="C49:M49"/>
  </mergeCells>
  <printOptions headings="false" gridLines="false" gridLinesSet="true" horizontalCentered="false" verticalCentered="false"/>
  <pageMargins left="0.440277777777778" right="0.170138888888889" top="0.7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10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4.14"/>
    <col collapsed="false" customWidth="true" hidden="false" outlineLevel="0" max="3" min="3" style="0" width="9.56"/>
    <col collapsed="false" customWidth="true" hidden="false" outlineLevel="0" max="4" min="4" style="0" width="12.56"/>
    <col collapsed="false" customWidth="true" hidden="false" outlineLevel="0" max="5" min="5" style="0" width="13.41"/>
    <col collapsed="false" customWidth="true" hidden="false" outlineLevel="0" max="6" min="6" style="0" width="14.14"/>
    <col collapsed="false" customWidth="true" hidden="false" outlineLevel="0" max="8" min="7" style="0" width="13.41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12" min="11" style="0" width="13.41"/>
    <col collapsed="false" customWidth="true" hidden="false" outlineLevel="0" max="13" min="13" style="0" width="13.28"/>
    <col collapsed="false" customWidth="true" hidden="false" outlineLevel="0" max="14" min="14" style="0" width="11.42"/>
  </cols>
  <sheetData>
    <row r="1" customFormat="false" ht="20.25" hidden="false" customHeight="false" outlineLevel="0" collapsed="false">
      <c r="A1" s="143" t="str">
        <f aca="false">"Project "&amp;Assumptions!D6</f>
        <v>Project ETS</v>
      </c>
      <c r="B1" s="677"/>
      <c r="C1" s="677"/>
      <c r="D1" s="678"/>
      <c r="E1" s="679"/>
      <c r="F1" s="679"/>
      <c r="G1" s="679"/>
      <c r="H1" s="679"/>
      <c r="I1" s="679"/>
      <c r="J1" s="679"/>
      <c r="K1" s="679"/>
      <c r="L1" s="679"/>
      <c r="P1" s="679"/>
      <c r="Q1" s="680"/>
      <c r="R1" s="680" t="s">
        <v>327</v>
      </c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680"/>
      <c r="AH1" s="680"/>
      <c r="AI1" s="680"/>
      <c r="AJ1" s="680"/>
      <c r="AK1" s="680"/>
      <c r="AL1" s="680"/>
      <c r="AM1" s="680"/>
      <c r="AN1" s="680"/>
      <c r="AO1" s="680"/>
      <c r="AP1" s="680"/>
    </row>
    <row r="2" customFormat="false" ht="16.5" hidden="false" customHeight="false" outlineLevel="0" collapsed="false">
      <c r="A2" s="147" t="s">
        <v>328</v>
      </c>
      <c r="B2" s="681"/>
      <c r="C2" s="681"/>
      <c r="D2" s="682"/>
      <c r="E2" s="679"/>
      <c r="F2" s="683"/>
      <c r="G2" s="679"/>
      <c r="H2" s="679"/>
      <c r="I2" s="679"/>
      <c r="J2" s="679"/>
      <c r="K2" s="679"/>
      <c r="L2" s="679"/>
      <c r="P2" s="679"/>
      <c r="Q2" s="680"/>
      <c r="R2" s="680"/>
      <c r="S2" s="680"/>
      <c r="T2" s="680"/>
      <c r="U2" s="680"/>
      <c r="V2" s="680"/>
      <c r="W2" s="680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0"/>
      <c r="AK2" s="680"/>
      <c r="AL2" s="680"/>
      <c r="AM2" s="680"/>
      <c r="AN2" s="680"/>
      <c r="AO2" s="680"/>
      <c r="AP2" s="680"/>
    </row>
    <row r="3" customFormat="false" ht="12.75" hidden="false" customHeight="false" outlineLevel="0" collapsed="false">
      <c r="A3" s="684"/>
      <c r="B3" s="296"/>
      <c r="C3" s="296"/>
      <c r="D3" s="685"/>
      <c r="E3" s="685"/>
      <c r="F3" s="686"/>
      <c r="G3" s="296"/>
      <c r="H3" s="296"/>
      <c r="I3" s="296"/>
      <c r="J3" s="96"/>
      <c r="K3" s="96"/>
      <c r="L3" s="96"/>
      <c r="M3" s="96"/>
      <c r="N3" s="96"/>
      <c r="O3" s="96"/>
      <c r="P3" s="687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688"/>
      <c r="AD3" s="688"/>
      <c r="AE3" s="688"/>
      <c r="AF3" s="688"/>
      <c r="AG3" s="688"/>
      <c r="AH3" s="688"/>
      <c r="AI3" s="688"/>
      <c r="AJ3" s="688"/>
      <c r="AK3" s="688"/>
      <c r="AL3" s="688"/>
      <c r="AM3" s="688"/>
      <c r="AN3" s="688"/>
      <c r="AO3" s="688"/>
      <c r="AP3" s="688"/>
    </row>
    <row r="4" customFormat="false" ht="12.75" hidden="false" customHeight="false" outlineLevel="0" collapsed="false">
      <c r="A4" s="689" t="s">
        <v>329</v>
      </c>
      <c r="B4" s="690"/>
      <c r="C4" s="690"/>
      <c r="D4" s="690"/>
      <c r="E4" s="690"/>
      <c r="F4" s="690"/>
      <c r="G4" s="690"/>
      <c r="H4" s="152"/>
      <c r="I4" s="690"/>
      <c r="J4" s="691"/>
      <c r="K4" s="692"/>
      <c r="L4" s="96"/>
      <c r="M4" s="96"/>
      <c r="N4" s="96"/>
      <c r="O4" s="96"/>
      <c r="P4" s="692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</row>
    <row r="5" customFormat="false" ht="12.75" hidden="false" customHeight="false" outlineLevel="0" collapsed="false">
      <c r="A5" s="695"/>
      <c r="B5" s="132"/>
      <c r="C5" s="132"/>
      <c r="D5" s="132"/>
      <c r="E5" s="509" t="s">
        <v>330</v>
      </c>
      <c r="F5" s="509" t="s">
        <v>331</v>
      </c>
      <c r="G5" s="509" t="s">
        <v>332</v>
      </c>
      <c r="I5" s="509" t="s">
        <v>333</v>
      </c>
      <c r="J5" s="696"/>
      <c r="K5" s="509"/>
      <c r="L5" s="96"/>
      <c r="M5" s="96"/>
      <c r="N5" s="96"/>
      <c r="O5" s="96"/>
      <c r="P5" s="133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B5" s="697"/>
      <c r="AC5" s="698"/>
      <c r="AD5" s="698"/>
      <c r="AE5" s="698"/>
      <c r="AF5" s="698"/>
      <c r="AG5" s="698"/>
      <c r="AH5" s="698"/>
      <c r="AI5" s="698"/>
      <c r="AJ5" s="698"/>
      <c r="AK5" s="698"/>
      <c r="AL5" s="698"/>
      <c r="AM5" s="698"/>
      <c r="AN5" s="698"/>
      <c r="AO5" s="698"/>
      <c r="AP5" s="698"/>
    </row>
    <row r="6" customFormat="false" ht="12.75" hidden="false" customHeight="false" outlineLevel="0" collapsed="false">
      <c r="A6" s="695"/>
      <c r="B6" s="132"/>
      <c r="C6" s="132"/>
      <c r="D6" s="132"/>
      <c r="E6" s="509" t="s">
        <v>334</v>
      </c>
      <c r="F6" s="509" t="s">
        <v>109</v>
      </c>
      <c r="G6" s="509" t="s">
        <v>316</v>
      </c>
      <c r="H6" s="699" t="s">
        <v>94</v>
      </c>
      <c r="I6" s="509" t="s">
        <v>335</v>
      </c>
      <c r="J6" s="696" t="s">
        <v>336</v>
      </c>
      <c r="K6" s="509"/>
      <c r="L6" s="96"/>
      <c r="M6" s="96"/>
      <c r="N6" s="96"/>
      <c r="O6" s="96"/>
      <c r="P6" s="133"/>
      <c r="Q6" s="697"/>
      <c r="R6" s="697"/>
      <c r="S6" s="697"/>
      <c r="T6" s="697"/>
      <c r="U6" s="697"/>
      <c r="V6" s="697"/>
      <c r="W6" s="697"/>
      <c r="X6" s="697"/>
      <c r="Y6" s="697"/>
      <c r="Z6" s="697"/>
      <c r="AA6" s="697"/>
      <c r="AB6" s="697"/>
      <c r="AC6" s="698"/>
      <c r="AD6" s="698"/>
      <c r="AE6" s="698"/>
      <c r="AF6" s="698"/>
      <c r="AG6" s="698"/>
      <c r="AH6" s="698"/>
      <c r="AI6" s="698"/>
      <c r="AJ6" s="698"/>
      <c r="AK6" s="698"/>
      <c r="AL6" s="698"/>
      <c r="AM6" s="698"/>
      <c r="AN6" s="698"/>
      <c r="AO6" s="698"/>
      <c r="AP6" s="698"/>
    </row>
    <row r="7" customFormat="false" ht="12.75" hidden="false" customHeight="false" outlineLevel="0" collapsed="false">
      <c r="A7" s="700" t="s">
        <v>337</v>
      </c>
      <c r="B7" s="701"/>
      <c r="C7" s="701"/>
      <c r="D7" s="701"/>
      <c r="E7" s="673" t="n">
        <f aca="false">Assumptions!D44</f>
        <v>0.365262611340977</v>
      </c>
      <c r="F7" s="158" t="n">
        <f aca="false">E7*'Valuation Summary'!E53</f>
        <v>3617664.3129064</v>
      </c>
      <c r="G7" s="673" t="n">
        <f aca="false">Assumptions!G44</f>
        <v>0.075</v>
      </c>
      <c r="H7" s="330" t="n">
        <f aca="false">Assumptions!F44</f>
        <v>10</v>
      </c>
      <c r="I7" s="97" t="str">
        <f aca="false">IF(Assumptions!I44=1,"No Amort",IF(Assumptions!I44=2,"Partial Amort",IF(Assumptions!I44=3,"Mortgage","N/A")))</f>
        <v>Partial Amort</v>
      </c>
      <c r="J7" s="702" t="n">
        <f aca="false">Assumptions!J44</f>
        <v>1</v>
      </c>
      <c r="K7" s="96"/>
      <c r="L7" s="96"/>
      <c r="M7" s="96"/>
      <c r="N7" s="96"/>
      <c r="O7" s="96"/>
      <c r="P7" s="703"/>
      <c r="Q7" s="704"/>
      <c r="R7" s="704"/>
      <c r="S7" s="704"/>
      <c r="T7" s="704"/>
      <c r="U7" s="704"/>
      <c r="V7" s="704"/>
      <c r="W7" s="704"/>
      <c r="X7" s="704"/>
      <c r="Y7" s="704"/>
      <c r="Z7" s="704"/>
      <c r="AA7" s="704"/>
      <c r="AB7" s="704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705"/>
      <c r="AN7" s="705"/>
      <c r="AO7" s="705"/>
      <c r="AP7" s="705"/>
    </row>
    <row r="8" customFormat="false" ht="12.75" hidden="false" customHeight="false" outlineLevel="0" collapsed="false">
      <c r="A8" s="700" t="s">
        <v>99</v>
      </c>
      <c r="B8" s="265"/>
      <c r="C8" s="265"/>
      <c r="D8" s="265"/>
      <c r="E8" s="673" t="n">
        <f aca="false">Assumptions!D45</f>
        <v>0</v>
      </c>
      <c r="F8" s="158" t="n">
        <f aca="false">E8*'Valuation Summary'!E52</f>
        <v>0</v>
      </c>
      <c r="G8" s="673" t="n">
        <f aca="false">Assumptions!G45</f>
        <v>0.1032</v>
      </c>
      <c r="H8" s="330" t="n">
        <f aca="false">Assumptions!F45</f>
        <v>8</v>
      </c>
      <c r="I8" s="97" t="str">
        <f aca="false">IF(Assumptions!I45=1,"No Amort",IF(Assumptions!I45=2,"Partial Amort",IF(Assumptions!I45=3,"Mortgage","N/A")))</f>
        <v>Partial Amort</v>
      </c>
      <c r="J8" s="702" t="n">
        <f aca="false">IF(I8="Mortgage","100%",Assumptions!J45)</f>
        <v>0.2</v>
      </c>
      <c r="K8" s="96"/>
      <c r="L8" s="96"/>
      <c r="M8" s="96"/>
      <c r="N8" s="96"/>
      <c r="O8" s="96"/>
      <c r="P8" s="703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706"/>
      <c r="AD8" s="706"/>
      <c r="AE8" s="706"/>
      <c r="AF8" s="706"/>
      <c r="AG8" s="706"/>
      <c r="AH8" s="706"/>
      <c r="AI8" s="706"/>
      <c r="AJ8" s="706"/>
      <c r="AK8" s="706"/>
      <c r="AL8" s="706"/>
      <c r="AM8" s="706"/>
      <c r="AN8" s="706"/>
      <c r="AO8" s="706"/>
      <c r="AP8" s="706"/>
    </row>
    <row r="9" customFormat="false" ht="12.75" hidden="false" customHeight="false" outlineLevel="0" collapsed="false">
      <c r="A9" s="700" t="s">
        <v>338</v>
      </c>
      <c r="B9" s="265"/>
      <c r="C9" s="265"/>
      <c r="D9" s="265"/>
      <c r="E9" s="673" t="n">
        <f aca="false">Assumptions!D46</f>
        <v>0</v>
      </c>
      <c r="F9" s="158" t="n">
        <f aca="false">Debt!E9*'Valuation Summary'!E52</f>
        <v>0</v>
      </c>
      <c r="G9" s="673" t="n">
        <f aca="false">Assumptions!G46</f>
        <v>0.11</v>
      </c>
      <c r="H9" s="330" t="n">
        <f aca="false">Assumptions!F46</f>
        <v>7</v>
      </c>
      <c r="I9" s="97" t="str">
        <f aca="false">IF(Assumptions!I46=1,"No Amort",IF(Assumptions!I46=2,"Partial Amort",IF(Assumptions!I46=3,"Mortgage","N/A")))</f>
        <v>No Amort</v>
      </c>
      <c r="J9" s="702" t="n">
        <f aca="false">Assumptions!J46</f>
        <v>0</v>
      </c>
      <c r="K9" s="96"/>
      <c r="L9" s="96"/>
      <c r="M9" s="96"/>
      <c r="N9" s="96"/>
      <c r="O9" s="96"/>
      <c r="P9" s="703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706"/>
      <c r="AD9" s="706"/>
      <c r="AE9" s="706"/>
      <c r="AF9" s="706"/>
      <c r="AG9" s="706"/>
      <c r="AH9" s="706"/>
      <c r="AI9" s="706"/>
      <c r="AJ9" s="706"/>
      <c r="AK9" s="706"/>
      <c r="AL9" s="706"/>
      <c r="AM9" s="706"/>
      <c r="AN9" s="706"/>
      <c r="AO9" s="706"/>
      <c r="AP9" s="706"/>
    </row>
    <row r="10" customFormat="false" ht="12.75" hidden="false" customHeight="false" outlineLevel="0" collapsed="false">
      <c r="A10" s="707" t="s">
        <v>339</v>
      </c>
      <c r="B10" s="708"/>
      <c r="C10" s="708"/>
      <c r="D10" s="708"/>
      <c r="E10" s="709" t="n">
        <v>0</v>
      </c>
      <c r="F10" s="296"/>
      <c r="G10" s="709" t="n">
        <f aca="false">Assumptions!G47</f>
        <v>0.095</v>
      </c>
      <c r="H10" s="710" t="str">
        <f aca="false">Assumptions!F47</f>
        <v>N/A</v>
      </c>
      <c r="I10" s="108" t="str">
        <f aca="false">IF(Assumptions!I47=1,"No Amort",IF(Assumptions!I47=2,"Partial Amort",IF(Assumptions!I47=3,"Mortgage","N/A")))</f>
        <v>N/A</v>
      </c>
      <c r="J10" s="711" t="str">
        <f aca="false">Assumptions!J47</f>
        <v>N/A</v>
      </c>
      <c r="K10" s="96"/>
      <c r="L10" s="96"/>
      <c r="M10" s="96"/>
      <c r="N10" s="96"/>
      <c r="O10" s="96"/>
      <c r="P10" s="712"/>
      <c r="Q10" s="713"/>
      <c r="R10" s="713"/>
      <c r="S10" s="713"/>
      <c r="T10" s="713"/>
      <c r="U10" s="713"/>
      <c r="V10" s="713"/>
      <c r="W10" s="713"/>
      <c r="X10" s="713"/>
      <c r="Y10" s="713"/>
      <c r="Z10" s="713"/>
      <c r="AA10" s="713"/>
      <c r="AB10" s="713"/>
      <c r="AC10" s="714"/>
      <c r="AD10" s="714"/>
      <c r="AE10" s="714"/>
      <c r="AF10" s="714"/>
      <c r="AG10" s="714"/>
      <c r="AH10" s="714"/>
      <c r="AI10" s="714"/>
      <c r="AJ10" s="714"/>
      <c r="AK10" s="714"/>
      <c r="AL10" s="714"/>
      <c r="AM10" s="714"/>
      <c r="AN10" s="714"/>
      <c r="AO10" s="714"/>
      <c r="AP10" s="714"/>
    </row>
    <row r="11" customFormat="false" ht="12.75" hidden="false" customHeight="false" outlineLevel="0" collapsed="false">
      <c r="A11" s="715" t="s">
        <v>340</v>
      </c>
      <c r="B11" s="293"/>
      <c r="C11" s="293"/>
      <c r="D11" s="293"/>
      <c r="E11" s="716" t="n">
        <f aca="false">SUM(E7:E10)</f>
        <v>0.365262611340977</v>
      </c>
      <c r="F11" s="196" t="n">
        <f aca="false">SUM(F7:F10)</f>
        <v>3617664.3129064</v>
      </c>
      <c r="G11" s="717"/>
      <c r="H11" s="197"/>
      <c r="I11" s="718"/>
      <c r="J11" s="719"/>
      <c r="K11" s="412"/>
      <c r="L11" s="96"/>
      <c r="M11" s="96"/>
      <c r="N11" s="96"/>
      <c r="O11" s="96"/>
      <c r="P11" s="412"/>
      <c r="Q11" s="713"/>
      <c r="R11" s="713"/>
      <c r="S11" s="713"/>
      <c r="T11" s="713"/>
      <c r="U11" s="713"/>
      <c r="V11" s="713"/>
      <c r="W11" s="713"/>
      <c r="X11" s="713"/>
      <c r="Y11" s="713"/>
      <c r="Z11" s="713"/>
      <c r="AA11" s="713"/>
      <c r="AB11" s="713"/>
      <c r="AC11" s="714"/>
      <c r="AD11" s="714"/>
      <c r="AE11" s="714"/>
      <c r="AF11" s="714"/>
      <c r="AG11" s="714"/>
      <c r="AH11" s="714"/>
      <c r="AI11" s="714"/>
      <c r="AJ11" s="714"/>
      <c r="AK11" s="714"/>
      <c r="AL11" s="714"/>
      <c r="AM11" s="714"/>
      <c r="AN11" s="714"/>
      <c r="AO11" s="714"/>
      <c r="AP11" s="714"/>
    </row>
    <row r="12" customFormat="false" ht="12.75" hidden="false" customHeight="false" outlineLevel="0" collapsed="false">
      <c r="A12" s="412"/>
      <c r="B12" s="412"/>
      <c r="C12" s="412"/>
      <c r="D12" s="412"/>
      <c r="E12" s="720"/>
      <c r="F12" s="182"/>
      <c r="G12" s="721"/>
      <c r="H12" s="412"/>
      <c r="I12" s="412"/>
      <c r="J12" s="96"/>
      <c r="K12" s="412"/>
      <c r="L12" s="96"/>
      <c r="M12" s="96"/>
      <c r="N12" s="96"/>
      <c r="O12" s="96"/>
      <c r="P12" s="412"/>
      <c r="Q12" s="713"/>
      <c r="R12" s="713"/>
      <c r="S12" s="713"/>
      <c r="T12" s="713"/>
      <c r="U12" s="713"/>
      <c r="V12" s="713"/>
      <c r="W12" s="713"/>
      <c r="X12" s="713"/>
      <c r="Y12" s="713"/>
      <c r="Z12" s="713"/>
      <c r="AA12" s="713"/>
      <c r="AB12" s="713"/>
      <c r="AC12" s="714"/>
      <c r="AD12" s="714"/>
      <c r="AE12" s="714"/>
      <c r="AF12" s="714"/>
      <c r="AG12" s="714"/>
      <c r="AH12" s="714"/>
      <c r="AI12" s="714"/>
      <c r="AJ12" s="714"/>
      <c r="AK12" s="714"/>
      <c r="AL12" s="714"/>
      <c r="AM12" s="714"/>
      <c r="AN12" s="714"/>
      <c r="AO12" s="714"/>
      <c r="AP12" s="714"/>
    </row>
    <row r="13" customFormat="false" ht="12.75" hidden="false" customHeight="false" outlineLevel="0" collapsed="false">
      <c r="A13" s="412"/>
      <c r="B13" s="412"/>
      <c r="C13" s="412"/>
      <c r="D13" s="412"/>
      <c r="E13" s="294" t="s">
        <v>156</v>
      </c>
      <c r="F13" s="295"/>
      <c r="G13" s="293"/>
      <c r="H13" s="293"/>
      <c r="I13" s="296"/>
      <c r="J13" s="293"/>
      <c r="K13" s="296"/>
      <c r="L13" s="296"/>
      <c r="M13" s="296"/>
      <c r="N13" s="296"/>
      <c r="O13" s="412"/>
      <c r="Q13" s="713"/>
      <c r="R13" s="713"/>
      <c r="S13" s="713"/>
      <c r="T13" s="713"/>
      <c r="U13" s="713"/>
      <c r="V13" s="713"/>
      <c r="W13" s="713"/>
      <c r="X13" s="713"/>
      <c r="Y13" s="713"/>
      <c r="Z13" s="713"/>
      <c r="AA13" s="713"/>
      <c r="AB13" s="713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4"/>
      <c r="AN13" s="714"/>
      <c r="AO13" s="714"/>
      <c r="AP13" s="714"/>
    </row>
    <row r="14" customFormat="false" ht="12.75" hidden="false" customHeight="false" outlineLevel="0" collapsed="false">
      <c r="A14" s="412"/>
      <c r="B14" s="412"/>
      <c r="C14" s="412"/>
      <c r="D14" s="412"/>
      <c r="E14" s="297" t="n">
        <v>2002</v>
      </c>
      <c r="F14" s="298" t="n">
        <v>2003</v>
      </c>
      <c r="G14" s="297" t="n">
        <v>2004</v>
      </c>
      <c r="H14" s="298" t="n">
        <v>2005</v>
      </c>
      <c r="I14" s="297" t="n">
        <v>2006</v>
      </c>
      <c r="J14" s="298" t="n">
        <v>2007</v>
      </c>
      <c r="K14" s="297" t="n">
        <v>2008</v>
      </c>
      <c r="L14" s="298" t="n">
        <v>2009</v>
      </c>
      <c r="M14" s="297" t="n">
        <v>2010</v>
      </c>
      <c r="N14" s="298" t="n">
        <v>2011</v>
      </c>
      <c r="O14" s="722"/>
      <c r="Q14" s="713"/>
      <c r="R14" s="713"/>
      <c r="S14" s="713"/>
      <c r="T14" s="713"/>
      <c r="U14" s="713"/>
      <c r="V14" s="713"/>
      <c r="W14" s="713"/>
      <c r="X14" s="713"/>
      <c r="Y14" s="713"/>
      <c r="Z14" s="713"/>
      <c r="AA14" s="713"/>
      <c r="AB14" s="713"/>
      <c r="AC14" s="714"/>
      <c r="AD14" s="714"/>
      <c r="AE14" s="714"/>
      <c r="AF14" s="714"/>
      <c r="AG14" s="714"/>
      <c r="AH14" s="714"/>
      <c r="AI14" s="714"/>
      <c r="AJ14" s="714"/>
      <c r="AK14" s="714"/>
      <c r="AL14" s="714"/>
      <c r="AM14" s="714"/>
      <c r="AN14" s="714"/>
      <c r="AO14" s="714"/>
      <c r="AP14" s="714"/>
    </row>
    <row r="15" customFormat="false" ht="12.75" hidden="false" customHeight="false" outlineLevel="0" collapsed="false">
      <c r="A15" s="412"/>
      <c r="B15" s="412"/>
      <c r="C15" s="412"/>
      <c r="D15" s="301" t="s">
        <v>157</v>
      </c>
      <c r="E15" s="297" t="n">
        <v>1</v>
      </c>
      <c r="F15" s="298" t="n">
        <v>2</v>
      </c>
      <c r="G15" s="298" t="n">
        <v>3</v>
      </c>
      <c r="H15" s="298" t="n">
        <v>4</v>
      </c>
      <c r="I15" s="298" t="n">
        <v>5</v>
      </c>
      <c r="J15" s="298" t="n">
        <v>6</v>
      </c>
      <c r="K15" s="298" t="n">
        <v>7</v>
      </c>
      <c r="L15" s="298" t="n">
        <v>8</v>
      </c>
      <c r="M15" s="298" t="n">
        <v>9</v>
      </c>
      <c r="N15" s="298" t="n">
        <v>10</v>
      </c>
      <c r="O15" s="722"/>
      <c r="Q15" s="713"/>
      <c r="R15" s="713"/>
      <c r="S15" s="713"/>
      <c r="T15" s="713"/>
      <c r="U15" s="713"/>
      <c r="V15" s="713"/>
      <c r="W15" s="713"/>
      <c r="X15" s="713"/>
      <c r="Y15" s="713"/>
      <c r="Z15" s="713"/>
      <c r="AA15" s="713"/>
      <c r="AB15" s="713"/>
      <c r="AC15" s="714"/>
      <c r="AD15" s="714"/>
      <c r="AE15" s="714"/>
      <c r="AF15" s="714"/>
      <c r="AG15" s="714"/>
      <c r="AH15" s="714"/>
      <c r="AI15" s="714"/>
      <c r="AJ15" s="714"/>
      <c r="AK15" s="714"/>
      <c r="AL15" s="714"/>
      <c r="AM15" s="714"/>
      <c r="AN15" s="714"/>
      <c r="AO15" s="714"/>
      <c r="AP15" s="714"/>
    </row>
    <row r="16" customFormat="false" ht="12.75" hidden="true" customHeight="false" outlineLevel="1" collapsed="false">
      <c r="A16" s="723" t="str">
        <f aca="false">+A10</f>
        <v>Revolver/New Financing (US$)</v>
      </c>
      <c r="B16" s="724"/>
      <c r="C16" s="724"/>
      <c r="D16" s="724"/>
      <c r="E16" s="725"/>
      <c r="F16" s="725"/>
      <c r="G16" s="725"/>
      <c r="H16" s="725"/>
      <c r="I16" s="725"/>
      <c r="J16" s="725"/>
      <c r="K16" s="85"/>
      <c r="L16" s="85"/>
      <c r="M16" s="85"/>
      <c r="N16" s="85"/>
      <c r="O16" s="726"/>
      <c r="Q16" s="713"/>
      <c r="R16" s="713"/>
      <c r="S16" s="713"/>
      <c r="T16" s="713"/>
      <c r="U16" s="713"/>
      <c r="V16" s="713"/>
      <c r="W16" s="713"/>
      <c r="X16" s="713"/>
      <c r="Y16" s="713"/>
      <c r="Z16" s="713"/>
      <c r="AA16" s="713"/>
      <c r="AB16" s="713"/>
      <c r="AC16" s="714"/>
      <c r="AD16" s="714"/>
      <c r="AE16" s="714"/>
      <c r="AF16" s="714"/>
      <c r="AG16" s="714"/>
      <c r="AH16" s="714"/>
      <c r="AI16" s="714"/>
      <c r="AJ16" s="714"/>
      <c r="AK16" s="714"/>
      <c r="AL16" s="714"/>
      <c r="AM16" s="714"/>
      <c r="AN16" s="714"/>
      <c r="AO16" s="714"/>
      <c r="AP16" s="714"/>
    </row>
    <row r="17" customFormat="false" ht="12.75" hidden="true" customHeight="false" outlineLevel="1" collapsed="false">
      <c r="A17" s="727" t="s">
        <v>341</v>
      </c>
      <c r="B17" s="728"/>
      <c r="C17" s="728"/>
      <c r="D17" s="728"/>
      <c r="E17" s="729"/>
      <c r="F17" s="730" t="e">
        <f aca="false">#REF!</f>
        <v>#REF!</v>
      </c>
      <c r="G17" s="730" t="e">
        <f aca="false">F20</f>
        <v>#REF!</v>
      </c>
      <c r="H17" s="730" t="e">
        <f aca="false">G20</f>
        <v>#REF!</v>
      </c>
      <c r="I17" s="730" t="e">
        <f aca="false">H20</f>
        <v>#REF!</v>
      </c>
      <c r="J17" s="730" t="e">
        <f aca="false">I20</f>
        <v>#REF!</v>
      </c>
      <c r="K17" s="146"/>
      <c r="L17" s="146"/>
      <c r="M17" s="146"/>
      <c r="N17" s="146"/>
      <c r="O17" s="730"/>
      <c r="Q17" s="731"/>
      <c r="R17" s="713"/>
      <c r="S17" s="713"/>
      <c r="T17" s="713"/>
      <c r="U17" s="713"/>
      <c r="V17" s="713"/>
      <c r="W17" s="713"/>
      <c r="X17" s="713"/>
      <c r="Y17" s="713"/>
      <c r="Z17" s="713"/>
      <c r="AA17" s="713"/>
      <c r="AB17" s="713"/>
      <c r="AC17" s="714"/>
      <c r="AD17" s="714"/>
      <c r="AE17" s="714"/>
      <c r="AF17" s="714"/>
      <c r="AG17" s="714"/>
      <c r="AH17" s="714"/>
      <c r="AI17" s="714"/>
      <c r="AJ17" s="714"/>
      <c r="AK17" s="714"/>
      <c r="AL17" s="714"/>
      <c r="AM17" s="714"/>
      <c r="AN17" s="714"/>
      <c r="AO17" s="714"/>
      <c r="AP17" s="714"/>
    </row>
    <row r="18" customFormat="false" ht="12.75" hidden="true" customHeight="false" outlineLevel="1" collapsed="false">
      <c r="A18" s="732" t="s">
        <v>342</v>
      </c>
      <c r="B18" s="728"/>
      <c r="C18" s="728"/>
      <c r="D18" s="728"/>
      <c r="E18" s="729"/>
      <c r="F18" s="730" t="e">
        <f aca="false">IF(((([4]CFS!O23+[4]BS!N7)/'[4]Curves Assumptions'!O13)-#REF!-#REF!-#REF!)&lt;0,-((([4]CFS!O23+[4]BS!N7)/'[4]Curves Assumptions'!O13)-#REF!-#REF!-#REF!),0)</f>
        <v>#REF!</v>
      </c>
      <c r="G18" s="730" t="e">
        <f aca="false">IF(((([4]CFS!P23+[4]BS!O7)/'[4]Curves Assumptions'!P13)-#REF!-#REF!-#REF!)&lt;0,-((([4]CFS!P23+[4]BS!O7)/'[4]Curves Assumptions'!P13)-#REF!-#REF!-#REF!),0)</f>
        <v>#REF!</v>
      </c>
      <c r="H18" s="730" t="e">
        <f aca="false">IF(((([4]CFS!Q23+[4]BS!P7)/'[4]Curves Assumptions'!Q13)-#REF!-#REF!-#REF!)&lt;0,-((([4]CFS!Q23+[4]BS!P7)/'[4]Curves Assumptions'!Q13)-#REF!-#REF!-#REF!),0)</f>
        <v>#REF!</v>
      </c>
      <c r="I18" s="730" t="e">
        <f aca="false">IF(((([4]CFS!R23+[4]BS!Q7)/'[4]Curves Assumptions'!R13)-#REF!-#REF!-#REF!)&lt;0,-((([4]CFS!R23+[4]BS!Q7)/'[4]Curves Assumptions'!R13)-#REF!-#REF!-#REF!),0)</f>
        <v>#REF!</v>
      </c>
      <c r="J18" s="730" t="e">
        <f aca="false">IF(((([4]CFS!S23+[4]BS!R7)/'[4]Curves Assumptions'!S13)-#REF!-#REF!-#REF!)&lt;0,-((([4]CFS!S23+[4]BS!R7)/'[4]Curves Assumptions'!S13)-#REF!-#REF!-#REF!),0)</f>
        <v>#REF!</v>
      </c>
      <c r="K18" s="146"/>
      <c r="L18" s="146"/>
      <c r="M18" s="146"/>
      <c r="N18" s="146"/>
      <c r="O18" s="730"/>
      <c r="Q18" s="713"/>
      <c r="R18" s="713"/>
      <c r="S18" s="713"/>
      <c r="T18" s="713"/>
      <c r="U18" s="713"/>
      <c r="V18" s="713"/>
      <c r="W18" s="713"/>
      <c r="X18" s="713"/>
      <c r="Y18" s="713"/>
      <c r="Z18" s="713"/>
      <c r="AA18" s="713"/>
      <c r="AB18" s="713"/>
      <c r="AC18" s="714"/>
      <c r="AD18" s="714"/>
      <c r="AE18" s="714"/>
      <c r="AF18" s="714"/>
      <c r="AG18" s="714"/>
      <c r="AH18" s="714"/>
      <c r="AI18" s="714"/>
      <c r="AJ18" s="714"/>
      <c r="AK18" s="714"/>
      <c r="AL18" s="714"/>
      <c r="AM18" s="714"/>
      <c r="AN18" s="714"/>
      <c r="AO18" s="714"/>
      <c r="AP18" s="714"/>
    </row>
    <row r="19" customFormat="false" ht="12.75" hidden="true" customHeight="false" outlineLevel="1" collapsed="false">
      <c r="A19" s="732" t="s">
        <v>343</v>
      </c>
      <c r="B19" s="412"/>
      <c r="C19" s="412"/>
      <c r="D19" s="412"/>
      <c r="E19" s="733"/>
      <c r="F19" s="734" t="e">
        <f aca="false">-IF(F17&gt;0,IF((([4]CFS!O23/'[4]Curves Assumptions'!O13)+F25+F32+F39+([4]BS!N7/'[4]Curves Assumptions'!N13))&lt;0,0,IF((([4]CFS!O23/'[4]Curves Assumptions'!O13)+F25+F32+F39+([4]BS!N7/'[4]Curves Assumptions'!N13))&gt;F17,F17,(([4]CFS!O23/'[4]Curves Assumptions'!O13)+F25+F32+F39+([4]BS!N7/'[4]Curves Assumptions'!N13)))),0)</f>
        <v>#REF!</v>
      </c>
      <c r="G19" s="734" t="e">
        <f aca="false">-IF(G17&gt;0,IF((([4]CFS!P23/'[4]Curves Assumptions'!P13)+G25+G32+G39+([4]BS!O7/'[4]Curves Assumptions'!O13))&lt;0,0,IF((([4]CFS!P23/'[4]Curves Assumptions'!P13)+G25+G32+G39+([4]BS!O7/'[4]Curves Assumptions'!O13))&gt;G17,G17,(([4]CFS!P23/'[4]Curves Assumptions'!P13)+G25+G32+G39+([4]BS!O7/'[4]Curves Assumptions'!O13)))),0)</f>
        <v>#REF!</v>
      </c>
      <c r="H19" s="734" t="e">
        <f aca="false">-IF(H17&gt;0,IF((([4]CFS!Q23/'[4]Curves Assumptions'!Q13)+H25+H32+H39+([4]BS!P7/'[4]Curves Assumptions'!P13))&lt;0,0,IF((([4]CFS!Q23/'[4]Curves Assumptions'!Q13)+H25+H32+H39+([4]BS!P7/'[4]Curves Assumptions'!P13))&gt;H17,H17,(([4]CFS!Q23/'[4]Curves Assumptions'!Q13)+H25+H32+H39+([4]BS!P7/'[4]Curves Assumptions'!P13)))),0)</f>
        <v>#REF!</v>
      </c>
      <c r="I19" s="734" t="e">
        <f aca="false">-IF(I17&gt;0,IF((([4]CFS!R23/'[4]Curves Assumptions'!R13)+I25+I32+I39+([4]BS!Q7/'[4]Curves Assumptions'!Q13))&lt;0,0,IF((([4]CFS!R23/'[4]Curves Assumptions'!R13)+I25+I32+I39+([4]BS!Q7/'[4]Curves Assumptions'!Q13))&gt;I17,I17,(([4]CFS!R23/'[4]Curves Assumptions'!R13)+I25+I32+I39+([4]BS!Q7/'[4]Curves Assumptions'!Q13)))),0)</f>
        <v>#REF!</v>
      </c>
      <c r="J19" s="734" t="e">
        <f aca="false">-IF(J17&gt;0,IF((([4]CFS!S23/'[4]Curves Assumptions'!S13)+J25+J32+J39+([4]BS!R7/'[4]Curves Assumptions'!R13))&lt;0,0,IF((([4]CFS!S23/'[4]Curves Assumptions'!S13)+J25+J32+J39+([4]BS!R7/'[4]Curves Assumptions'!R13))&gt;J17,J17,(([4]CFS!S23/'[4]Curves Assumptions'!S13)+J25+J32+J39+([4]BS!R7/'[4]Curves Assumptions'!R13)))),0)</f>
        <v>#REF!</v>
      </c>
      <c r="K19" s="146"/>
      <c r="L19" s="146"/>
      <c r="M19" s="146"/>
      <c r="N19" s="146"/>
      <c r="O19" s="734"/>
      <c r="Q19" s="735"/>
      <c r="R19" s="713"/>
      <c r="S19" s="713"/>
      <c r="T19" s="713"/>
      <c r="U19" s="713"/>
      <c r="V19" s="713"/>
      <c r="W19" s="713"/>
      <c r="X19" s="713"/>
      <c r="Y19" s="713"/>
      <c r="Z19" s="713"/>
      <c r="AA19" s="713"/>
      <c r="AB19" s="713"/>
      <c r="AC19" s="714"/>
      <c r="AD19" s="714"/>
      <c r="AE19" s="714"/>
      <c r="AF19" s="714"/>
      <c r="AG19" s="714"/>
      <c r="AH19" s="714"/>
      <c r="AI19" s="714"/>
      <c r="AJ19" s="714"/>
      <c r="AK19" s="714"/>
      <c r="AL19" s="714"/>
      <c r="AM19" s="714"/>
      <c r="AN19" s="714"/>
      <c r="AO19" s="714"/>
      <c r="AP19" s="714"/>
    </row>
    <row r="20" customFormat="false" ht="12.75" hidden="true" customHeight="false" outlineLevel="1" collapsed="false">
      <c r="A20" s="412" t="s">
        <v>344</v>
      </c>
      <c r="B20" s="412"/>
      <c r="C20" s="412"/>
      <c r="D20" s="412"/>
      <c r="E20" s="736" t="n">
        <f aca="false">+E10</f>
        <v>0</v>
      </c>
      <c r="F20" s="737" t="e">
        <f aca="false">SUM(F17:F19)</f>
        <v>#REF!</v>
      </c>
      <c r="G20" s="737" t="e">
        <f aca="false">SUM(G17:G19)</f>
        <v>#REF!</v>
      </c>
      <c r="H20" s="737" t="e">
        <f aca="false">SUM(H17:H19)</f>
        <v>#REF!</v>
      </c>
      <c r="I20" s="737" t="e">
        <f aca="false">SUM(I17:I19)</f>
        <v>#REF!</v>
      </c>
      <c r="J20" s="737" t="e">
        <f aca="false">SUM(J17:J19)</f>
        <v>#REF!</v>
      </c>
      <c r="K20" s="146"/>
      <c r="L20" s="146"/>
      <c r="M20" s="146"/>
      <c r="N20" s="146"/>
      <c r="O20" s="738"/>
      <c r="Q20" s="713"/>
      <c r="R20" s="713"/>
      <c r="S20" s="713"/>
      <c r="T20" s="713"/>
      <c r="U20" s="713"/>
      <c r="V20" s="713"/>
      <c r="W20" s="713"/>
      <c r="X20" s="713"/>
      <c r="Y20" s="713"/>
      <c r="Z20" s="713"/>
      <c r="AA20" s="713"/>
      <c r="AB20" s="713"/>
      <c r="AC20" s="714"/>
      <c r="AD20" s="714"/>
      <c r="AE20" s="714"/>
      <c r="AF20" s="714"/>
      <c r="AG20" s="714"/>
      <c r="AH20" s="714"/>
      <c r="AI20" s="714"/>
      <c r="AJ20" s="714"/>
      <c r="AK20" s="714"/>
      <c r="AL20" s="714"/>
      <c r="AM20" s="714"/>
      <c r="AN20" s="714"/>
      <c r="AO20" s="714"/>
      <c r="AP20" s="714"/>
    </row>
    <row r="21" customFormat="false" ht="12.75" hidden="true" customHeight="false" outlineLevel="1" collapsed="false">
      <c r="A21" s="739" t="s">
        <v>345</v>
      </c>
      <c r="B21" s="739"/>
      <c r="C21" s="739"/>
      <c r="D21" s="739"/>
      <c r="E21" s="740"/>
      <c r="F21" s="741" t="e">
        <f aca="false">+#REF!</f>
        <v>#REF!</v>
      </c>
      <c r="G21" s="741" t="e">
        <f aca="false">+#REF!</f>
        <v>#REF!</v>
      </c>
      <c r="H21" s="741" t="e">
        <f aca="false">+#REF!</f>
        <v>#REF!</v>
      </c>
      <c r="I21" s="741" t="e">
        <f aca="false">+#REF!</f>
        <v>#REF!</v>
      </c>
      <c r="J21" s="741" t="e">
        <f aca="false">+#REF!</f>
        <v>#REF!</v>
      </c>
      <c r="K21" s="146"/>
      <c r="L21" s="146"/>
      <c r="M21" s="146"/>
      <c r="N21" s="146"/>
      <c r="O21" s="742"/>
      <c r="Q21" s="713"/>
      <c r="R21" s="713"/>
      <c r="S21" s="713"/>
      <c r="T21" s="713"/>
      <c r="U21" s="713"/>
      <c r="V21" s="713"/>
      <c r="W21" s="713"/>
      <c r="X21" s="713"/>
      <c r="Y21" s="713"/>
      <c r="Z21" s="713"/>
      <c r="AA21" s="713"/>
      <c r="AB21" s="713"/>
      <c r="AC21" s="714"/>
      <c r="AD21" s="714"/>
      <c r="AE21" s="714"/>
      <c r="AF21" s="714"/>
      <c r="AG21" s="714"/>
      <c r="AH21" s="714"/>
      <c r="AI21" s="714"/>
      <c r="AJ21" s="714"/>
      <c r="AK21" s="714"/>
      <c r="AL21" s="714"/>
      <c r="AM21" s="714"/>
      <c r="AN21" s="714"/>
      <c r="AO21" s="714"/>
      <c r="AP21" s="714"/>
    </row>
    <row r="22" customFormat="false" ht="12.75" hidden="false" customHeight="false" outlineLevel="0" collapsed="false">
      <c r="A22" s="743"/>
      <c r="B22" s="743"/>
      <c r="C22" s="743"/>
      <c r="D22" s="743"/>
      <c r="E22" s="744"/>
      <c r="F22" s="742"/>
      <c r="G22" s="742"/>
      <c r="H22" s="742"/>
      <c r="I22" s="742"/>
      <c r="J22" s="742"/>
      <c r="K22" s="146"/>
      <c r="L22" s="146"/>
      <c r="M22" s="146"/>
      <c r="N22" s="146"/>
      <c r="O22" s="742"/>
      <c r="Q22" s="713"/>
      <c r="R22" s="713"/>
      <c r="S22" s="713"/>
      <c r="T22" s="713"/>
      <c r="U22" s="713"/>
      <c r="V22" s="713"/>
      <c r="W22" s="713"/>
      <c r="X22" s="713"/>
      <c r="Y22" s="713"/>
      <c r="Z22" s="713"/>
      <c r="AA22" s="713"/>
      <c r="AB22" s="713"/>
      <c r="AC22" s="714"/>
      <c r="AD22" s="714"/>
      <c r="AE22" s="714"/>
      <c r="AF22" s="714"/>
      <c r="AG22" s="714"/>
      <c r="AH22" s="714"/>
      <c r="AI22" s="714"/>
      <c r="AJ22" s="714"/>
      <c r="AK22" s="714"/>
      <c r="AL22" s="714"/>
      <c r="AM22" s="714"/>
      <c r="AN22" s="714"/>
      <c r="AO22" s="714"/>
      <c r="AP22" s="714"/>
    </row>
    <row r="23" customFormat="false" ht="12.75" hidden="false" customHeight="false" outlineLevel="0" collapsed="false">
      <c r="A23" s="723" t="str">
        <f aca="false">+A7</f>
        <v>Senior Tranche A (US$)</v>
      </c>
      <c r="B23" s="724"/>
      <c r="C23" s="724"/>
      <c r="D23" s="724"/>
      <c r="E23" s="725"/>
      <c r="F23" s="725"/>
      <c r="G23" s="725"/>
      <c r="H23" s="725"/>
      <c r="I23" s="725"/>
      <c r="J23" s="725"/>
      <c r="K23" s="745"/>
      <c r="L23" s="745"/>
      <c r="M23" s="745"/>
      <c r="N23" s="745"/>
      <c r="O23" s="722"/>
      <c r="Q23" s="713"/>
      <c r="R23" s="713"/>
      <c r="S23" s="713"/>
      <c r="T23" s="713"/>
      <c r="U23" s="713"/>
      <c r="V23" s="713"/>
      <c r="W23" s="713"/>
      <c r="X23" s="713"/>
      <c r="Y23" s="713"/>
      <c r="Z23" s="713"/>
      <c r="AA23" s="713"/>
      <c r="AB23" s="713"/>
      <c r="AC23" s="714"/>
      <c r="AD23" s="714"/>
      <c r="AE23" s="714"/>
      <c r="AF23" s="714"/>
      <c r="AG23" s="714"/>
      <c r="AH23" s="714"/>
      <c r="AI23" s="714"/>
      <c r="AJ23" s="714"/>
      <c r="AK23" s="714"/>
      <c r="AL23" s="714"/>
      <c r="AM23" s="714"/>
      <c r="AN23" s="714"/>
      <c r="AO23" s="714"/>
      <c r="AP23" s="714"/>
    </row>
    <row r="24" customFormat="false" ht="12.75" hidden="false" customHeight="false" outlineLevel="0" collapsed="false">
      <c r="A24" s="727" t="s">
        <v>341</v>
      </c>
      <c r="B24" s="728"/>
      <c r="C24" s="728"/>
      <c r="D24" s="728"/>
      <c r="E24" s="746" t="n">
        <f aca="false">F7</f>
        <v>3617664.3129064</v>
      </c>
      <c r="F24" s="746" t="n">
        <f aca="false">E27</f>
        <v>3255897.88161576</v>
      </c>
      <c r="G24" s="746" t="n">
        <f aca="false">F27</f>
        <v>2894131.45032512</v>
      </c>
      <c r="H24" s="746" t="n">
        <f aca="false">G27</f>
        <v>2532365.01903448</v>
      </c>
      <c r="I24" s="746" t="n">
        <f aca="false">H27</f>
        <v>2170598.58774384</v>
      </c>
      <c r="J24" s="746" t="n">
        <f aca="false">I27</f>
        <v>1808832.1564532</v>
      </c>
      <c r="K24" s="746" t="n">
        <f aca="false">J27</f>
        <v>1447065.72516256</v>
      </c>
      <c r="L24" s="746" t="n">
        <f aca="false">K27</f>
        <v>1085299.29387192</v>
      </c>
      <c r="M24" s="746" t="n">
        <f aca="false">L27</f>
        <v>723532.86258128</v>
      </c>
      <c r="N24" s="746" t="n">
        <f aca="false">M27</f>
        <v>361766.431290641</v>
      </c>
      <c r="O24" s="727"/>
      <c r="Q24" s="713"/>
      <c r="R24" s="713"/>
      <c r="S24" s="708"/>
      <c r="T24" s="708"/>
      <c r="U24" s="708"/>
      <c r="V24" s="708"/>
      <c r="W24" s="708"/>
      <c r="X24" s="708"/>
      <c r="Y24" s="708"/>
      <c r="Z24" s="708"/>
      <c r="AA24" s="708"/>
      <c r="AB24" s="708"/>
      <c r="AC24" s="747"/>
      <c r="AD24" s="747"/>
      <c r="AE24" s="747"/>
      <c r="AF24" s="747"/>
      <c r="AG24" s="747"/>
      <c r="AH24" s="747"/>
      <c r="AI24" s="747"/>
      <c r="AJ24" s="747"/>
      <c r="AK24" s="714"/>
      <c r="AL24" s="714"/>
      <c r="AM24" s="714"/>
      <c r="AN24" s="714"/>
      <c r="AO24" s="714"/>
      <c r="AP24" s="714"/>
    </row>
    <row r="25" customFormat="false" ht="12.75" hidden="false" customHeight="false" outlineLevel="0" collapsed="false">
      <c r="A25" s="732" t="s">
        <v>346</v>
      </c>
      <c r="B25" s="732"/>
      <c r="C25" s="732"/>
      <c r="D25" s="732"/>
      <c r="E25" s="746" t="n">
        <f aca="false">IF(Assumptions!$I$44=1,Debt!E59,IF(Assumptions!$I$44=2,E68,IF(Assumptions!$I$44=3,Debt!E84-Debt!E85,"Enter Type of Amort")))</f>
        <v>361766.43129064</v>
      </c>
      <c r="F25" s="746" t="n">
        <f aca="false">IF(Assumptions!$I$44=1,Debt!F59,IF(Assumptions!$I$44=2,F68,IF(Assumptions!$I$44=3,Debt!F84-Debt!F85,"Enter Type of Amort")))</f>
        <v>361766.43129064</v>
      </c>
      <c r="G25" s="746" t="n">
        <f aca="false">IF(Assumptions!$I$44=1,Debt!G59,IF(Assumptions!$I$44=2,G68,IF(Assumptions!$I$44=3,Debt!G84-Debt!G85,"Enter Type of Amort")))</f>
        <v>361766.43129064</v>
      </c>
      <c r="H25" s="746" t="n">
        <f aca="false">IF(Assumptions!$I$44=1,Debt!H59,IF(Assumptions!$I$44=2,H68,IF(Assumptions!$I$44=3,Debt!H84-Debt!H85,"Enter Type of Amort")))</f>
        <v>361766.43129064</v>
      </c>
      <c r="I25" s="746" t="n">
        <f aca="false">IF(Assumptions!$I$44=1,Debt!I59,IF(Assumptions!$I$44=2,I68,IF(Assumptions!$I$44=3,Debt!I84-Debt!I85,"Enter Type of Amort")))</f>
        <v>361766.43129064</v>
      </c>
      <c r="J25" s="746" t="n">
        <f aca="false">IF(Assumptions!$I$44=1,Debt!J59,IF(Assumptions!$I$44=2,J68,IF(Assumptions!$I$44=3,Debt!J84-Debt!J85,"Enter Type of Amort")))</f>
        <v>361766.43129064</v>
      </c>
      <c r="K25" s="746" t="n">
        <f aca="false">IF(Assumptions!$I$44=1,Debt!K59,IF(Assumptions!$I$44=2,K68,IF(Assumptions!$I$44=3,Debt!K84-Debt!K85,"Enter Type of Amort")))</f>
        <v>361766.43129064</v>
      </c>
      <c r="L25" s="746" t="n">
        <f aca="false">IF(Assumptions!$I$44=1,Debt!L59,IF(Assumptions!$I$44=2,L68,IF(Assumptions!$I$44=3,Debt!L84-Debt!L85,"Enter Type of Amort")))</f>
        <v>361766.43129064</v>
      </c>
      <c r="M25" s="746" t="n">
        <f aca="false">IF(Assumptions!$I$44=1,Debt!M59,IF(Assumptions!$I$44=2,M68,IF(Assumptions!$I$44=3,Debt!M84-Debt!M85,"Enter Type of Amort")))</f>
        <v>361766.43129064</v>
      </c>
      <c r="N25" s="746" t="n">
        <f aca="false">IF(Assumptions!$I$44=1,Debt!N59,IF(Assumptions!$I$44=2,N68,IF(Assumptions!$I$44=3,Debt!N84-Debt!N85,"Enter Type of Amort")))</f>
        <v>361766.431290641</v>
      </c>
      <c r="O25" s="708"/>
      <c r="Q25" s="713"/>
      <c r="R25" s="713"/>
      <c r="S25" s="708"/>
      <c r="T25" s="708"/>
      <c r="U25" s="708"/>
      <c r="V25" s="708"/>
      <c r="W25" s="708"/>
      <c r="X25" s="708"/>
      <c r="Y25" s="708"/>
      <c r="Z25" s="708"/>
      <c r="AA25" s="708"/>
      <c r="AB25" s="708"/>
      <c r="AC25" s="747"/>
      <c r="AD25" s="747"/>
      <c r="AE25" s="714"/>
      <c r="AF25" s="747"/>
      <c r="AG25" s="747"/>
      <c r="AH25" s="747"/>
      <c r="AI25" s="747"/>
      <c r="AJ25" s="747"/>
      <c r="AK25" s="714"/>
      <c r="AL25" s="714"/>
      <c r="AM25" s="714"/>
      <c r="AN25" s="714"/>
      <c r="AO25" s="714"/>
      <c r="AP25" s="714"/>
    </row>
    <row r="26" customFormat="false" ht="12.75" hidden="false" customHeight="false" outlineLevel="0" collapsed="false">
      <c r="A26" s="732" t="s">
        <v>347</v>
      </c>
      <c r="B26" s="732"/>
      <c r="C26" s="732"/>
      <c r="D26" s="732"/>
      <c r="E26" s="746" t="n">
        <v>0</v>
      </c>
      <c r="F26" s="746" t="n">
        <v>0</v>
      </c>
      <c r="G26" s="746" t="n">
        <v>0</v>
      </c>
      <c r="H26" s="746" t="n">
        <v>0</v>
      </c>
      <c r="I26" s="746" t="n">
        <v>0</v>
      </c>
      <c r="J26" s="746" t="n">
        <v>0</v>
      </c>
      <c r="K26" s="746" t="n">
        <v>0</v>
      </c>
      <c r="L26" s="746" t="n">
        <v>0</v>
      </c>
      <c r="M26" s="746" t="n">
        <v>0</v>
      </c>
      <c r="N26" s="746" t="n">
        <v>0</v>
      </c>
      <c r="O26" s="708"/>
      <c r="Q26" s="713"/>
      <c r="R26" s="713"/>
      <c r="S26" s="713"/>
      <c r="T26" s="713"/>
      <c r="U26" s="713"/>
      <c r="V26" s="713"/>
      <c r="W26" s="713"/>
      <c r="X26" s="713"/>
      <c r="Y26" s="713"/>
      <c r="Z26" s="713"/>
      <c r="AA26" s="713"/>
      <c r="AB26" s="713"/>
      <c r="AC26" s="714"/>
      <c r="AD26" s="714"/>
      <c r="AE26" s="714"/>
      <c r="AF26" s="714"/>
      <c r="AG26" s="714"/>
      <c r="AH26" s="714"/>
      <c r="AI26" s="714"/>
      <c r="AJ26" s="714"/>
      <c r="AK26" s="714"/>
      <c r="AL26" s="714"/>
      <c r="AM26" s="714"/>
      <c r="AN26" s="714"/>
      <c r="AO26" s="714"/>
      <c r="AP26" s="714"/>
    </row>
    <row r="27" customFormat="false" ht="12.75" hidden="false" customHeight="false" outlineLevel="0" collapsed="false">
      <c r="A27" s="718" t="s">
        <v>344</v>
      </c>
      <c r="B27" s="718"/>
      <c r="C27" s="718"/>
      <c r="D27" s="718"/>
      <c r="E27" s="748" t="n">
        <f aca="false">E24-E25-E26</f>
        <v>3255897.88161576</v>
      </c>
      <c r="F27" s="748" t="n">
        <f aca="false">F24-F25-F26</f>
        <v>2894131.45032512</v>
      </c>
      <c r="G27" s="748" t="n">
        <f aca="false">G24-G25-G26</f>
        <v>2532365.01903448</v>
      </c>
      <c r="H27" s="748" t="n">
        <f aca="false">H24-H25-H26</f>
        <v>2170598.58774384</v>
      </c>
      <c r="I27" s="748" t="n">
        <f aca="false">I24-I25-I26</f>
        <v>1808832.1564532</v>
      </c>
      <c r="J27" s="748" t="n">
        <f aca="false">J24-J25-J26</f>
        <v>1447065.72516256</v>
      </c>
      <c r="K27" s="748" t="n">
        <f aca="false">K24-K25-K26</f>
        <v>1085299.29387192</v>
      </c>
      <c r="L27" s="748" t="n">
        <f aca="false">L24-L25-L26</f>
        <v>723532.86258128</v>
      </c>
      <c r="M27" s="748" t="n">
        <f aca="false">M24-M25-M26</f>
        <v>361766.431290641</v>
      </c>
      <c r="N27" s="748" t="n">
        <f aca="false">N24-N25-N26</f>
        <v>0</v>
      </c>
      <c r="O27" s="301"/>
      <c r="Q27" s="713"/>
      <c r="R27" s="713"/>
      <c r="S27" s="713"/>
      <c r="T27" s="713"/>
      <c r="U27" s="713"/>
      <c r="V27" s="713"/>
      <c r="W27" s="713"/>
      <c r="X27" s="713"/>
      <c r="Y27" s="713"/>
      <c r="Z27" s="713"/>
      <c r="AA27" s="713"/>
      <c r="AB27" s="713"/>
      <c r="AC27" s="714"/>
      <c r="AD27" s="714"/>
      <c r="AE27" s="714"/>
      <c r="AF27" s="714"/>
      <c r="AG27" s="714"/>
      <c r="AH27" s="714"/>
      <c r="AI27" s="714"/>
      <c r="AJ27" s="714"/>
      <c r="AK27" s="714"/>
      <c r="AL27" s="714"/>
      <c r="AM27" s="714"/>
      <c r="AN27" s="714"/>
      <c r="AO27" s="714"/>
      <c r="AP27" s="714"/>
    </row>
    <row r="28" customFormat="false" ht="13.5" hidden="false" customHeight="false" outlineLevel="0" collapsed="false">
      <c r="A28" s="749" t="s">
        <v>345</v>
      </c>
      <c r="B28" s="749"/>
      <c r="C28" s="749"/>
      <c r="D28" s="749"/>
      <c r="E28" s="750" t="n">
        <f aca="false">E24*$G$7</f>
        <v>271324.82346798</v>
      </c>
      <c r="F28" s="750" t="n">
        <f aca="false">F24*$G$7</f>
        <v>244192.341121182</v>
      </c>
      <c r="G28" s="750" t="n">
        <f aca="false">G24*$G$7</f>
        <v>217059.858774384</v>
      </c>
      <c r="H28" s="750" t="n">
        <f aca="false">H24*$G$7</f>
        <v>189927.376427586</v>
      </c>
      <c r="I28" s="750" t="n">
        <f aca="false">I24*$G$7</f>
        <v>162794.894080788</v>
      </c>
      <c r="J28" s="750" t="n">
        <f aca="false">J24*$G$7</f>
        <v>135662.41173399</v>
      </c>
      <c r="K28" s="750" t="n">
        <f aca="false">K24*$G$7</f>
        <v>108529.929387192</v>
      </c>
      <c r="L28" s="750" t="n">
        <f aca="false">L24*$G$7</f>
        <v>81397.447040394</v>
      </c>
      <c r="M28" s="750" t="n">
        <f aca="false">M24*$G$7</f>
        <v>54264.964693596</v>
      </c>
      <c r="N28" s="750" t="n">
        <f aca="false">N24*$G$7</f>
        <v>27132.4823467981</v>
      </c>
      <c r="O28" s="751"/>
      <c r="Q28" s="713"/>
      <c r="R28" s="713"/>
      <c r="S28" s="713"/>
      <c r="T28" s="713"/>
      <c r="U28" s="713"/>
      <c r="V28" s="713"/>
      <c r="W28" s="713"/>
      <c r="X28" s="713"/>
      <c r="Y28" s="713"/>
      <c r="Z28" s="713"/>
      <c r="AA28" s="713"/>
      <c r="AB28" s="713"/>
      <c r="AC28" s="714"/>
      <c r="AD28" s="752"/>
      <c r="AE28" s="752"/>
      <c r="AF28" s="752"/>
      <c r="AG28" s="752"/>
      <c r="AH28" s="752"/>
      <c r="AI28" s="752"/>
      <c r="AJ28" s="752"/>
      <c r="AK28" s="752"/>
      <c r="AL28" s="714"/>
      <c r="AM28" s="714"/>
      <c r="AN28" s="714"/>
      <c r="AO28" s="714"/>
      <c r="AP28" s="714"/>
    </row>
    <row r="29" customFormat="false" ht="13.5" hidden="false" customHeight="false" outlineLevel="0" collapsed="false">
      <c r="A29" s="743"/>
      <c r="B29" s="743"/>
      <c r="C29" s="743"/>
      <c r="D29" s="743"/>
      <c r="E29" s="744"/>
      <c r="F29" s="751"/>
      <c r="G29" s="751"/>
      <c r="H29" s="751"/>
      <c r="I29" s="751"/>
      <c r="J29" s="751"/>
      <c r="K29" s="146"/>
      <c r="L29" s="146"/>
      <c r="M29" s="146"/>
      <c r="N29" s="146"/>
      <c r="O29" s="751"/>
      <c r="Q29" s="713"/>
      <c r="R29" s="713"/>
      <c r="S29" s="713"/>
      <c r="T29" s="713"/>
      <c r="U29" s="713"/>
      <c r="V29" s="713"/>
      <c r="W29" s="713"/>
      <c r="X29" s="713"/>
      <c r="Y29" s="713"/>
      <c r="Z29" s="713"/>
      <c r="AA29" s="713"/>
      <c r="AB29" s="713"/>
      <c r="AC29" s="714"/>
      <c r="AD29" s="752"/>
      <c r="AE29" s="752"/>
      <c r="AF29" s="752"/>
      <c r="AG29" s="752"/>
      <c r="AH29" s="752"/>
      <c r="AI29" s="752"/>
      <c r="AJ29" s="752"/>
      <c r="AK29" s="752"/>
      <c r="AL29" s="714"/>
      <c r="AM29" s="714"/>
      <c r="AN29" s="714"/>
      <c r="AO29" s="714"/>
      <c r="AP29" s="714"/>
    </row>
    <row r="30" customFormat="false" ht="12.75" hidden="false" customHeight="false" outlineLevel="0" collapsed="false">
      <c r="A30" s="723" t="str">
        <f aca="false">+A8</f>
        <v>Senior Tranche B (US$)</v>
      </c>
      <c r="B30" s="724"/>
      <c r="C30" s="724"/>
      <c r="D30" s="724"/>
      <c r="E30" s="725"/>
      <c r="F30" s="725"/>
      <c r="G30" s="725"/>
      <c r="H30" s="725"/>
      <c r="I30" s="725"/>
      <c r="J30" s="725"/>
      <c r="K30" s="745"/>
      <c r="L30" s="745"/>
      <c r="M30" s="745"/>
      <c r="N30" s="745"/>
      <c r="O30" s="722"/>
      <c r="Q30" s="713"/>
      <c r="R30" s="713"/>
      <c r="S30" s="713"/>
      <c r="T30" s="713"/>
      <c r="U30" s="713"/>
      <c r="V30" s="713"/>
      <c r="W30" s="713"/>
      <c r="X30" s="713"/>
      <c r="Y30" s="713"/>
      <c r="Z30" s="713"/>
      <c r="AA30" s="713"/>
      <c r="AB30" s="713"/>
      <c r="AC30" s="714"/>
      <c r="AD30" s="752"/>
      <c r="AE30" s="752"/>
      <c r="AF30" s="752"/>
      <c r="AG30" s="752"/>
      <c r="AH30" s="752"/>
      <c r="AI30" s="752"/>
      <c r="AJ30" s="752"/>
      <c r="AK30" s="752"/>
      <c r="AL30" s="714"/>
      <c r="AM30" s="714"/>
      <c r="AN30" s="714"/>
      <c r="AO30" s="714"/>
      <c r="AP30" s="714"/>
    </row>
    <row r="31" customFormat="false" ht="12.75" hidden="false" customHeight="false" outlineLevel="0" collapsed="false">
      <c r="A31" s="727" t="s">
        <v>341</v>
      </c>
      <c r="B31" s="728"/>
      <c r="C31" s="728"/>
      <c r="D31" s="728"/>
      <c r="E31" s="753" t="n">
        <f aca="false">F8</f>
        <v>0</v>
      </c>
      <c r="F31" s="753" t="n">
        <f aca="false">E34</f>
        <v>0</v>
      </c>
      <c r="G31" s="753" t="n">
        <f aca="false">F34</f>
        <v>0</v>
      </c>
      <c r="H31" s="753" t="n">
        <f aca="false">G34</f>
        <v>0</v>
      </c>
      <c r="I31" s="753" t="n">
        <f aca="false">H34</f>
        <v>0</v>
      </c>
      <c r="J31" s="753" t="n">
        <f aca="false">I34</f>
        <v>0</v>
      </c>
      <c r="K31" s="753" t="n">
        <f aca="false">J34</f>
        <v>0</v>
      </c>
      <c r="L31" s="753" t="n">
        <f aca="false">K34</f>
        <v>0</v>
      </c>
      <c r="M31" s="753" t="n">
        <f aca="false">L34</f>
        <v>0</v>
      </c>
      <c r="N31" s="753" t="n">
        <f aca="false">M34</f>
        <v>0</v>
      </c>
      <c r="O31" s="727"/>
      <c r="Q31" s="708"/>
      <c r="R31" s="708"/>
      <c r="S31" s="713"/>
      <c r="T31" s="713"/>
      <c r="U31" s="713"/>
      <c r="V31" s="713"/>
      <c r="W31" s="713"/>
      <c r="X31" s="713"/>
      <c r="Y31" s="713"/>
      <c r="Z31" s="713"/>
      <c r="AA31" s="713"/>
      <c r="AB31" s="713"/>
      <c r="AC31" s="714"/>
      <c r="AD31" s="752"/>
      <c r="AE31" s="752"/>
      <c r="AF31" s="752"/>
      <c r="AG31" s="752"/>
      <c r="AH31" s="752"/>
      <c r="AI31" s="752"/>
      <c r="AJ31" s="752"/>
      <c r="AK31" s="752"/>
      <c r="AL31" s="747"/>
      <c r="AM31" s="747"/>
      <c r="AN31" s="747"/>
      <c r="AO31" s="747"/>
      <c r="AP31" s="747"/>
    </row>
    <row r="32" customFormat="false" ht="12.75" hidden="false" customHeight="false" outlineLevel="0" collapsed="false">
      <c r="A32" s="732" t="s">
        <v>346</v>
      </c>
      <c r="B32" s="732"/>
      <c r="C32" s="732"/>
      <c r="D32" s="732"/>
      <c r="E32" s="746" t="n">
        <f aca="false">IF(Assumptions!$I$45=1,Debt!E60,IF(Assumptions!$I$45=2,E72,IF(Assumptions!$I$45=3,Debt!E89-Debt!E90,"Enter Type of Amort")))</f>
        <v>0</v>
      </c>
      <c r="F32" s="746" t="n">
        <f aca="false">IF(Assumptions!$I$45=1,Debt!F60,IF(Assumptions!$I$45=2,F72,IF(Assumptions!$I$45=3,Debt!F89-Debt!F90,"Enter Type of Amort")))</f>
        <v>0</v>
      </c>
      <c r="G32" s="746" t="n">
        <f aca="false">IF(Assumptions!$I$45=1,Debt!G60,IF(Assumptions!$I$45=2,G72,IF(Assumptions!$I$45=3,Debt!G89-Debt!G90,"Enter Type of Amort")))</f>
        <v>0</v>
      </c>
      <c r="H32" s="746" t="n">
        <f aca="false">IF(Assumptions!$I$45=1,Debt!H60,IF(Assumptions!$I$45=2,H72,IF(Assumptions!$I$45=3,Debt!H89-Debt!H90,"Enter Type of Amort")))</f>
        <v>0</v>
      </c>
      <c r="I32" s="746" t="n">
        <f aca="false">IF(Assumptions!$I$45=1,Debt!I60,IF(Assumptions!$I$45=2,I72,IF(Assumptions!$I$45=3,Debt!I89-Debt!I90,"Enter Type of Amort")))</f>
        <v>0</v>
      </c>
      <c r="J32" s="746" t="n">
        <f aca="false">IF(Assumptions!$I$45=1,Debt!J60,IF(Assumptions!$I$45=2,J72,IF(Assumptions!$I$45=3,Debt!J89-Debt!J90,"Enter Type of Amort")))</f>
        <v>0</v>
      </c>
      <c r="K32" s="746" t="n">
        <f aca="false">IF(Assumptions!$I$45=1,Debt!K60,IF(Assumptions!$I$45=2,K72,IF(Assumptions!$I$45=3,Debt!K89-Debt!K90,"Enter Type of Amort")))</f>
        <v>0</v>
      </c>
      <c r="L32" s="746" t="n">
        <f aca="false">IF(Assumptions!$I$45=1,Debt!L60,IF(Assumptions!$I$45=2,L72,IF(Assumptions!$I$45=3,Debt!L89-Debt!L90,"Enter Type of Amort")))</f>
        <v>0</v>
      </c>
      <c r="M32" s="746" t="n">
        <f aca="false">IF(Assumptions!$I$45=1,Debt!M60,IF(Assumptions!$I$45=2,M72,IF(Assumptions!$I$45=3,Debt!M89-Debt!M90,"Enter Type of Amort")))</f>
        <v>0</v>
      </c>
      <c r="N32" s="746" t="n">
        <f aca="false">IF(Assumptions!$I$45=1,Debt!N60,IF(Assumptions!$I$45=2,N72,IF(Assumptions!$I$45=3,Debt!N89-Debt!N90,"Enter Type of Amort")))</f>
        <v>0</v>
      </c>
      <c r="O32" s="708"/>
      <c r="Q32" s="708"/>
      <c r="R32" s="708"/>
      <c r="S32" s="713"/>
      <c r="T32" s="713"/>
      <c r="U32" s="713"/>
      <c r="V32" s="713"/>
      <c r="W32" s="713"/>
      <c r="X32" s="713"/>
      <c r="Y32" s="713"/>
      <c r="Z32" s="713"/>
      <c r="AA32" s="713"/>
      <c r="AB32" s="713"/>
      <c r="AC32" s="714"/>
      <c r="AD32" s="752"/>
      <c r="AE32" s="754"/>
      <c r="AF32" s="752"/>
      <c r="AG32" s="752"/>
      <c r="AH32" s="752"/>
      <c r="AI32" s="752"/>
      <c r="AJ32" s="752"/>
      <c r="AK32" s="752"/>
      <c r="AL32" s="747"/>
      <c r="AM32" s="747"/>
      <c r="AN32" s="747"/>
      <c r="AO32" s="747"/>
      <c r="AP32" s="747"/>
    </row>
    <row r="33" customFormat="false" ht="12.75" hidden="false" customHeight="false" outlineLevel="0" collapsed="false">
      <c r="A33" s="755" t="s">
        <v>347</v>
      </c>
      <c r="B33" s="755"/>
      <c r="C33" s="755"/>
      <c r="D33" s="755"/>
      <c r="E33" s="756" t="n">
        <v>0</v>
      </c>
      <c r="F33" s="756" t="n">
        <v>0</v>
      </c>
      <c r="G33" s="756" t="n">
        <v>0</v>
      </c>
      <c r="H33" s="756" t="n">
        <v>0</v>
      </c>
      <c r="I33" s="756" t="n">
        <v>0</v>
      </c>
      <c r="J33" s="756" t="n">
        <v>0</v>
      </c>
      <c r="K33" s="756" t="n">
        <v>0</v>
      </c>
      <c r="L33" s="756" t="n">
        <v>0</v>
      </c>
      <c r="M33" s="756" t="n">
        <v>0</v>
      </c>
      <c r="N33" s="756" t="n">
        <v>0</v>
      </c>
      <c r="O33" s="708"/>
      <c r="Q33" s="708"/>
      <c r="R33" s="708"/>
      <c r="S33" s="708"/>
      <c r="T33" s="708"/>
      <c r="U33" s="708"/>
      <c r="V33" s="708"/>
      <c r="W33" s="708"/>
      <c r="X33" s="708"/>
      <c r="Y33" s="708"/>
      <c r="Z33" s="708"/>
      <c r="AA33" s="708"/>
      <c r="AB33" s="708"/>
      <c r="AC33" s="747"/>
      <c r="AD33" s="752"/>
      <c r="AE33" s="752"/>
      <c r="AF33" s="752"/>
      <c r="AG33" s="752"/>
      <c r="AH33" s="752"/>
      <c r="AI33" s="752"/>
      <c r="AJ33" s="752"/>
      <c r="AK33" s="752"/>
      <c r="AL33" s="747"/>
      <c r="AM33" s="747"/>
      <c r="AN33" s="747"/>
      <c r="AO33" s="747"/>
      <c r="AP33" s="747"/>
    </row>
    <row r="34" customFormat="false" ht="12.75" hidden="false" customHeight="false" outlineLevel="0" collapsed="false">
      <c r="A34" s="412" t="s">
        <v>344</v>
      </c>
      <c r="B34" s="412"/>
      <c r="C34" s="412"/>
      <c r="D34" s="412"/>
      <c r="E34" s="757" t="n">
        <f aca="false">E31-E32-E33</f>
        <v>0</v>
      </c>
      <c r="F34" s="757" t="n">
        <f aca="false">F31-F32-F33</f>
        <v>0</v>
      </c>
      <c r="G34" s="757" t="n">
        <f aca="false">G31-G32-G33</f>
        <v>0</v>
      </c>
      <c r="H34" s="757" t="n">
        <f aca="false">H31-H32-H33</f>
        <v>0</v>
      </c>
      <c r="I34" s="757" t="n">
        <f aca="false">I31-I32-I33</f>
        <v>0</v>
      </c>
      <c r="J34" s="757" t="n">
        <f aca="false">J31-J32-J33</f>
        <v>0</v>
      </c>
      <c r="K34" s="757" t="n">
        <f aca="false">K31-K32-K33</f>
        <v>0</v>
      </c>
      <c r="L34" s="757" t="n">
        <f aca="false">L31-L32-L33</f>
        <v>0</v>
      </c>
      <c r="M34" s="757" t="n">
        <f aca="false">M31-M32-M33</f>
        <v>0</v>
      </c>
      <c r="N34" s="757" t="n">
        <f aca="false">N31-N32-N33</f>
        <v>0</v>
      </c>
      <c r="O34" s="301"/>
      <c r="Q34" s="708"/>
      <c r="R34" s="708"/>
      <c r="S34" s="708"/>
      <c r="T34" s="708"/>
      <c r="U34" s="708"/>
      <c r="V34" s="708"/>
      <c r="W34" s="708"/>
      <c r="X34" s="708"/>
      <c r="Y34" s="708"/>
      <c r="Z34" s="708"/>
      <c r="AA34" s="708"/>
      <c r="AB34" s="708"/>
      <c r="AC34" s="747"/>
      <c r="AD34" s="752"/>
      <c r="AE34" s="752"/>
      <c r="AF34" s="752"/>
      <c r="AG34" s="752"/>
      <c r="AH34" s="752"/>
      <c r="AI34" s="752"/>
      <c r="AJ34" s="752"/>
      <c r="AK34" s="752"/>
      <c r="AL34" s="747"/>
      <c r="AM34" s="747"/>
      <c r="AN34" s="747"/>
      <c r="AO34" s="747"/>
      <c r="AP34" s="747"/>
    </row>
    <row r="35" customFormat="false" ht="13.5" hidden="false" customHeight="false" outlineLevel="0" collapsed="false">
      <c r="A35" s="758" t="s">
        <v>345</v>
      </c>
      <c r="B35" s="758"/>
      <c r="C35" s="758"/>
      <c r="D35" s="758"/>
      <c r="E35" s="759" t="n">
        <f aca="false">E31*$G$8</f>
        <v>0</v>
      </c>
      <c r="F35" s="759" t="n">
        <f aca="false">F31*$G$8</f>
        <v>0</v>
      </c>
      <c r="G35" s="759" t="n">
        <f aca="false">G31*$G$8</f>
        <v>0</v>
      </c>
      <c r="H35" s="759" t="n">
        <f aca="false">H31*$G$8</f>
        <v>0</v>
      </c>
      <c r="I35" s="759" t="n">
        <f aca="false">I31*$G$8</f>
        <v>0</v>
      </c>
      <c r="J35" s="759" t="n">
        <f aca="false">J31*$G$8</f>
        <v>0</v>
      </c>
      <c r="K35" s="759" t="n">
        <f aca="false">K31*$G$8</f>
        <v>0</v>
      </c>
      <c r="L35" s="759" t="n">
        <f aca="false">L31*$G$8</f>
        <v>0</v>
      </c>
      <c r="M35" s="759" t="n">
        <f aca="false">M31*$G$8</f>
        <v>0</v>
      </c>
      <c r="N35" s="759" t="n">
        <f aca="false">N31*$G$8</f>
        <v>0</v>
      </c>
      <c r="O35" s="751"/>
      <c r="Q35" s="708"/>
      <c r="R35" s="708"/>
      <c r="S35" s="708"/>
      <c r="T35" s="708"/>
      <c r="U35" s="708"/>
      <c r="V35" s="708"/>
      <c r="W35" s="708"/>
      <c r="X35" s="708"/>
      <c r="Y35" s="708"/>
      <c r="Z35" s="708"/>
      <c r="AA35" s="708"/>
      <c r="AB35" s="708"/>
      <c r="AC35" s="747"/>
      <c r="AD35" s="752"/>
      <c r="AE35" s="752"/>
      <c r="AF35" s="752"/>
      <c r="AG35" s="752"/>
      <c r="AH35" s="752"/>
      <c r="AI35" s="752"/>
      <c r="AJ35" s="752"/>
      <c r="AK35" s="752"/>
      <c r="AL35" s="747"/>
      <c r="AM35" s="747"/>
      <c r="AN35" s="747"/>
      <c r="AO35" s="747"/>
      <c r="AP35" s="747"/>
    </row>
    <row r="36" customFormat="false" ht="13.5" hidden="false" customHeight="false" outlineLevel="0" collapsed="false">
      <c r="A36" s="743"/>
      <c r="B36" s="743"/>
      <c r="C36" s="743"/>
      <c r="D36" s="743"/>
      <c r="E36" s="744"/>
      <c r="F36" s="751"/>
      <c r="G36" s="751"/>
      <c r="H36" s="751"/>
      <c r="I36" s="751"/>
      <c r="J36" s="751"/>
      <c r="K36" s="146"/>
      <c r="L36" s="146"/>
      <c r="M36" s="146"/>
      <c r="N36" s="146"/>
      <c r="O36" s="751"/>
      <c r="Q36" s="708"/>
      <c r="R36" s="708"/>
      <c r="S36" s="708"/>
      <c r="T36" s="708"/>
      <c r="U36" s="708"/>
      <c r="V36" s="708"/>
      <c r="W36" s="708"/>
      <c r="X36" s="708"/>
      <c r="Y36" s="708"/>
      <c r="Z36" s="708"/>
      <c r="AA36" s="708"/>
      <c r="AB36" s="708"/>
      <c r="AC36" s="747"/>
      <c r="AD36" s="752"/>
      <c r="AE36" s="752"/>
      <c r="AF36" s="752"/>
      <c r="AG36" s="752"/>
      <c r="AH36" s="752"/>
      <c r="AI36" s="752"/>
      <c r="AJ36" s="752"/>
      <c r="AK36" s="752"/>
      <c r="AL36" s="747"/>
      <c r="AM36" s="747"/>
      <c r="AN36" s="747"/>
      <c r="AO36" s="747"/>
      <c r="AP36" s="747"/>
    </row>
    <row r="37" customFormat="false" ht="12.75" hidden="false" customHeight="false" outlineLevel="0" collapsed="false">
      <c r="A37" s="723" t="str">
        <f aca="false">+A9</f>
        <v>Junior Debt (US$)</v>
      </c>
      <c r="B37" s="724"/>
      <c r="C37" s="724"/>
      <c r="D37" s="724"/>
      <c r="E37" s="725"/>
      <c r="F37" s="725"/>
      <c r="G37" s="725"/>
      <c r="H37" s="725"/>
      <c r="I37" s="725"/>
      <c r="J37" s="725"/>
      <c r="K37" s="85"/>
      <c r="L37" s="85"/>
      <c r="M37" s="85"/>
      <c r="N37" s="85"/>
      <c r="O37" s="722"/>
      <c r="Q37" s="708"/>
      <c r="R37" s="708"/>
      <c r="S37" s="708"/>
      <c r="T37" s="708"/>
      <c r="U37" s="708"/>
      <c r="V37" s="708"/>
      <c r="W37" s="708"/>
      <c r="X37" s="708"/>
      <c r="Y37" s="708"/>
      <c r="Z37" s="708"/>
      <c r="AA37" s="708"/>
      <c r="AB37" s="708"/>
      <c r="AC37" s="747"/>
      <c r="AD37" s="752"/>
      <c r="AE37" s="752"/>
      <c r="AF37" s="752"/>
      <c r="AG37" s="752"/>
      <c r="AH37" s="752"/>
      <c r="AI37" s="752"/>
      <c r="AJ37" s="752"/>
      <c r="AK37" s="752"/>
      <c r="AL37" s="747"/>
      <c r="AM37" s="747"/>
      <c r="AN37" s="747"/>
      <c r="AO37" s="747"/>
      <c r="AP37" s="747"/>
    </row>
    <row r="38" customFormat="false" ht="12.75" hidden="false" customHeight="false" outlineLevel="0" collapsed="false">
      <c r="A38" s="727" t="s">
        <v>341</v>
      </c>
      <c r="B38" s="728"/>
      <c r="C38" s="728"/>
      <c r="D38" s="728"/>
      <c r="E38" s="760" t="n">
        <f aca="false">F9</f>
        <v>0</v>
      </c>
      <c r="F38" s="760" t="n">
        <f aca="false">E41</f>
        <v>0</v>
      </c>
      <c r="G38" s="760" t="n">
        <f aca="false">F41</f>
        <v>0</v>
      </c>
      <c r="H38" s="760" t="n">
        <f aca="false">G41</f>
        <v>0</v>
      </c>
      <c r="I38" s="760" t="n">
        <f aca="false">H41</f>
        <v>0</v>
      </c>
      <c r="J38" s="760" t="n">
        <f aca="false">I41</f>
        <v>0</v>
      </c>
      <c r="K38" s="760" t="n">
        <f aca="false">J41</f>
        <v>0</v>
      </c>
      <c r="L38" s="760" t="n">
        <f aca="false">K41</f>
        <v>0</v>
      </c>
      <c r="M38" s="760" t="n">
        <f aca="false">L41</f>
        <v>0</v>
      </c>
      <c r="N38" s="760" t="n">
        <f aca="false">M41</f>
        <v>0</v>
      </c>
      <c r="O38" s="727"/>
      <c r="Q38" s="708"/>
      <c r="R38" s="708"/>
      <c r="S38" s="708"/>
      <c r="T38" s="708"/>
      <c r="U38" s="708"/>
      <c r="V38" s="708"/>
      <c r="W38" s="708"/>
      <c r="X38" s="708"/>
      <c r="Y38" s="708"/>
      <c r="Z38" s="708"/>
      <c r="AA38" s="708"/>
      <c r="AB38" s="708"/>
      <c r="AC38" s="747"/>
      <c r="AD38" s="752"/>
      <c r="AE38" s="752"/>
      <c r="AF38" s="752"/>
      <c r="AG38" s="752"/>
      <c r="AH38" s="752"/>
      <c r="AI38" s="752"/>
      <c r="AJ38" s="752"/>
      <c r="AK38" s="752"/>
      <c r="AL38" s="747"/>
      <c r="AM38" s="747"/>
      <c r="AN38" s="747"/>
      <c r="AO38" s="747"/>
      <c r="AP38" s="747"/>
    </row>
    <row r="39" customFormat="false" ht="12.75" hidden="false" customHeight="false" outlineLevel="0" collapsed="false">
      <c r="A39" s="732" t="s">
        <v>346</v>
      </c>
      <c r="B39" s="732"/>
      <c r="C39" s="732"/>
      <c r="D39" s="732"/>
      <c r="E39" s="761" t="n">
        <f aca="false">IF(Assumptions!$I$46=1,Debt!E61,IF(Assumptions!$I$46=2,E76,IF(Assumptions!$I$46=3,Debt!E94-Debt!E95,"Enter Type of Amort")))</f>
        <v>0</v>
      </c>
      <c r="F39" s="761" t="n">
        <f aca="false">IF(Assumptions!$I$46=1,Debt!F61,IF(Assumptions!$I$46=2,F76,IF(Assumptions!$I$46=3,Debt!F94-Debt!F95,"Enter Type of Amort")))</f>
        <v>0</v>
      </c>
      <c r="G39" s="761" t="n">
        <f aca="false">IF(Assumptions!$I$46=1,Debt!G61,IF(Assumptions!$I$46=2,G76,IF(Assumptions!$I$46=3,Debt!G94-Debt!G95,"Enter Type of Amort")))</f>
        <v>0</v>
      </c>
      <c r="H39" s="761" t="n">
        <f aca="false">IF(Assumptions!$I$46=1,Debt!H61,IF(Assumptions!$I$46=2,H76,IF(Assumptions!$I$46=3,Debt!H94-Debt!H95,"Enter Type of Amort")))</f>
        <v>0</v>
      </c>
      <c r="I39" s="761" t="n">
        <f aca="false">IF(Assumptions!$I$46=1,Debt!I61,IF(Assumptions!$I$46=2,I76,IF(Assumptions!$I$46=3,Debt!I94-Debt!I95,"Enter Type of Amort")))</f>
        <v>0</v>
      </c>
      <c r="J39" s="761" t="n">
        <f aca="false">IF(Assumptions!$I$46=1,Debt!J61,IF(Assumptions!$I$46=2,J76,IF(Assumptions!$I$46=3,Debt!J94-Debt!J95,"Enter Type of Amort")))</f>
        <v>0</v>
      </c>
      <c r="K39" s="761" t="n">
        <f aca="false">IF(Assumptions!$I$46=1,Debt!K61,IF(Assumptions!$I$46=2,K76,IF(Assumptions!$I$46=3,Debt!K94-Debt!K95,"Enter Type of Amort")))</f>
        <v>0</v>
      </c>
      <c r="L39" s="761" t="n">
        <f aca="false">IF(Assumptions!$I$46=1,Debt!L61,IF(Assumptions!$I$46=2,L76,IF(Assumptions!$I$46=3,Debt!L94-Debt!L95,"Enter Type of Amort")))</f>
        <v>0</v>
      </c>
      <c r="M39" s="761" t="n">
        <f aca="false">IF(Assumptions!$I$46=1,Debt!M61,IF(Assumptions!$I$46=2,M76,IF(Assumptions!$I$46=3,Debt!M94-Debt!M95,"Enter Type of Amort")))</f>
        <v>0</v>
      </c>
      <c r="N39" s="761" t="n">
        <f aca="false">IF(Assumptions!$I$46=1,Debt!N61,IF(Assumptions!$I$46=2,N76,IF(Assumptions!$I$46=3,Debt!N94-Debt!N95,"Enter Type of Amort")))</f>
        <v>0</v>
      </c>
      <c r="O39" s="708"/>
      <c r="P39" s="16"/>
      <c r="Q39" s="708"/>
      <c r="R39" s="708"/>
      <c r="S39" s="708"/>
      <c r="T39" s="708"/>
      <c r="U39" s="708"/>
      <c r="V39" s="708"/>
      <c r="W39" s="708"/>
      <c r="X39" s="708"/>
      <c r="Y39" s="708"/>
      <c r="Z39" s="708"/>
      <c r="AA39" s="708"/>
      <c r="AB39" s="708"/>
      <c r="AC39" s="747"/>
      <c r="AD39" s="752"/>
      <c r="AE39" s="752"/>
      <c r="AF39" s="752"/>
      <c r="AG39" s="752"/>
      <c r="AH39" s="752"/>
      <c r="AI39" s="752"/>
      <c r="AJ39" s="752"/>
      <c r="AK39" s="752"/>
      <c r="AL39" s="747"/>
      <c r="AM39" s="747"/>
      <c r="AN39" s="747"/>
      <c r="AO39" s="747"/>
      <c r="AP39" s="747"/>
    </row>
    <row r="40" customFormat="false" ht="12.75" hidden="false" customHeight="false" outlineLevel="0" collapsed="false">
      <c r="A40" s="755" t="s">
        <v>347</v>
      </c>
      <c r="B40" s="755"/>
      <c r="C40" s="755"/>
      <c r="D40" s="755"/>
      <c r="E40" s="762" t="n">
        <v>0</v>
      </c>
      <c r="F40" s="762" t="n">
        <v>0</v>
      </c>
      <c r="G40" s="762" t="n">
        <v>0</v>
      </c>
      <c r="H40" s="762" t="n">
        <v>0</v>
      </c>
      <c r="I40" s="762" t="n">
        <v>0</v>
      </c>
      <c r="J40" s="762" t="n">
        <v>0</v>
      </c>
      <c r="K40" s="762" t="n">
        <v>0</v>
      </c>
      <c r="L40" s="762" t="n">
        <v>0</v>
      </c>
      <c r="M40" s="762" t="n">
        <v>0</v>
      </c>
      <c r="N40" s="762" t="n">
        <v>0</v>
      </c>
      <c r="O40" s="708"/>
      <c r="P40" s="16"/>
      <c r="Q40" s="708"/>
      <c r="R40" s="708"/>
      <c r="S40" s="708"/>
      <c r="T40" s="708"/>
      <c r="U40" s="708"/>
      <c r="V40" s="708"/>
      <c r="W40" s="708"/>
      <c r="X40" s="708"/>
      <c r="Y40" s="708"/>
      <c r="Z40" s="708"/>
      <c r="AA40" s="708"/>
      <c r="AB40" s="708"/>
      <c r="AC40" s="747"/>
      <c r="AD40" s="752"/>
      <c r="AE40" s="752"/>
      <c r="AF40" s="752"/>
      <c r="AG40" s="752"/>
      <c r="AH40" s="752"/>
      <c r="AI40" s="752"/>
      <c r="AJ40" s="752"/>
      <c r="AK40" s="752"/>
      <c r="AL40" s="747"/>
      <c r="AM40" s="747"/>
      <c r="AN40" s="747"/>
      <c r="AO40" s="747"/>
      <c r="AP40" s="747"/>
    </row>
    <row r="41" customFormat="false" ht="12.75" hidden="false" customHeight="false" outlineLevel="0" collapsed="false">
      <c r="A41" s="412" t="s">
        <v>344</v>
      </c>
      <c r="B41" s="412"/>
      <c r="C41" s="412"/>
      <c r="D41" s="412"/>
      <c r="E41" s="757" t="n">
        <f aca="false">E38-E39-E40</f>
        <v>0</v>
      </c>
      <c r="F41" s="757" t="n">
        <f aca="false">F38-F39-F40</f>
        <v>0</v>
      </c>
      <c r="G41" s="757" t="n">
        <f aca="false">G38-G39-G40</f>
        <v>0</v>
      </c>
      <c r="H41" s="757" t="n">
        <f aca="false">H38-H39-H40</f>
        <v>0</v>
      </c>
      <c r="I41" s="757" t="n">
        <f aca="false">I38-I39-I40</f>
        <v>0</v>
      </c>
      <c r="J41" s="757" t="n">
        <f aca="false">J38-J39-J40</f>
        <v>0</v>
      </c>
      <c r="K41" s="757" t="n">
        <f aca="false">K38-K39-K40</f>
        <v>0</v>
      </c>
      <c r="L41" s="757" t="n">
        <f aca="false">L38-L39-L40</f>
        <v>0</v>
      </c>
      <c r="M41" s="757" t="n">
        <f aca="false">M38-M39-M40</f>
        <v>0</v>
      </c>
      <c r="N41" s="757" t="n">
        <f aca="false">N38-N39-N40</f>
        <v>0</v>
      </c>
      <c r="O41" s="301"/>
      <c r="P41" s="16"/>
      <c r="Q41" s="763"/>
      <c r="R41" s="708"/>
      <c r="S41" s="708"/>
      <c r="T41" s="708"/>
      <c r="U41" s="708"/>
      <c r="V41" s="708"/>
      <c r="W41" s="708"/>
      <c r="X41" s="708"/>
      <c r="Y41" s="708"/>
      <c r="Z41" s="708"/>
      <c r="AA41" s="708"/>
      <c r="AB41" s="708"/>
      <c r="AC41" s="747"/>
      <c r="AD41" s="752"/>
      <c r="AE41" s="752"/>
      <c r="AF41" s="752"/>
      <c r="AG41" s="752"/>
      <c r="AH41" s="752"/>
      <c r="AI41" s="752"/>
      <c r="AJ41" s="752"/>
      <c r="AK41" s="752"/>
      <c r="AL41" s="747"/>
      <c r="AM41" s="714"/>
      <c r="AN41" s="714"/>
      <c r="AO41" s="714"/>
      <c r="AP41" s="714"/>
    </row>
    <row r="42" customFormat="false" ht="13.5" hidden="false" customHeight="false" outlineLevel="0" collapsed="false">
      <c r="A42" s="758" t="s">
        <v>345</v>
      </c>
      <c r="B42" s="758"/>
      <c r="C42" s="758"/>
      <c r="D42" s="758"/>
      <c r="E42" s="759" t="n">
        <f aca="false">E38*$G$9</f>
        <v>0</v>
      </c>
      <c r="F42" s="759" t="n">
        <f aca="false">F38*$G$9</f>
        <v>0</v>
      </c>
      <c r="G42" s="759" t="n">
        <f aca="false">G38*$G$9</f>
        <v>0</v>
      </c>
      <c r="H42" s="759" t="n">
        <f aca="false">H38*$G$9</f>
        <v>0</v>
      </c>
      <c r="I42" s="759" t="n">
        <f aca="false">I38*$G$9</f>
        <v>0</v>
      </c>
      <c r="J42" s="759" t="n">
        <f aca="false">J38*$G$9</f>
        <v>0</v>
      </c>
      <c r="K42" s="759" t="n">
        <f aca="false">K38*$G$9</f>
        <v>0</v>
      </c>
      <c r="L42" s="759" t="n">
        <f aca="false">L38*$G$9</f>
        <v>0</v>
      </c>
      <c r="M42" s="759" t="n">
        <f aca="false">M38*$G$9</f>
        <v>0</v>
      </c>
      <c r="N42" s="759" t="n">
        <f aca="false">N38*$G$9</f>
        <v>0</v>
      </c>
      <c r="O42" s="751"/>
      <c r="P42" s="16"/>
      <c r="Q42" s="708"/>
      <c r="R42" s="708"/>
      <c r="S42" s="763"/>
      <c r="T42" s="708"/>
      <c r="U42" s="708"/>
      <c r="V42" s="708"/>
      <c r="W42" s="708"/>
      <c r="X42" s="708"/>
      <c r="Y42" s="763"/>
      <c r="Z42" s="708"/>
      <c r="AA42" s="708"/>
      <c r="AB42" s="708"/>
      <c r="AC42" s="764"/>
      <c r="AD42" s="765"/>
      <c r="AE42" s="752"/>
      <c r="AF42" s="752"/>
      <c r="AG42" s="752"/>
      <c r="AH42" s="752"/>
      <c r="AI42" s="752"/>
      <c r="AJ42" s="752"/>
      <c r="AK42" s="752"/>
      <c r="AL42" s="747"/>
      <c r="AM42" s="714"/>
      <c r="AN42" s="714"/>
      <c r="AO42" s="714"/>
      <c r="AP42" s="714"/>
    </row>
    <row r="43" customFormat="false" ht="13.5" hidden="false" customHeight="false" outlineLevel="0" collapsed="false">
      <c r="A43" s="743"/>
      <c r="B43" s="743"/>
      <c r="C43" s="743"/>
      <c r="D43" s="743"/>
      <c r="E43" s="744"/>
      <c r="F43" s="751"/>
      <c r="G43" s="751"/>
      <c r="H43" s="751"/>
      <c r="I43" s="751"/>
      <c r="J43" s="751"/>
      <c r="K43" s="146"/>
      <c r="L43" s="146"/>
      <c r="M43" s="146"/>
      <c r="N43" s="146"/>
      <c r="O43" s="751"/>
      <c r="P43" s="16"/>
      <c r="Q43" s="708"/>
      <c r="R43" s="708"/>
      <c r="S43" s="763"/>
      <c r="T43" s="708"/>
      <c r="U43" s="708"/>
      <c r="V43" s="708"/>
      <c r="W43" s="708"/>
      <c r="X43" s="708"/>
      <c r="Y43" s="763"/>
      <c r="Z43" s="708"/>
      <c r="AA43" s="708"/>
      <c r="AB43" s="708"/>
      <c r="AC43" s="764"/>
      <c r="AD43" s="765"/>
      <c r="AE43" s="752"/>
      <c r="AF43" s="752"/>
      <c r="AG43" s="752"/>
      <c r="AH43" s="752"/>
      <c r="AI43" s="752"/>
      <c r="AJ43" s="752"/>
      <c r="AK43" s="752"/>
      <c r="AL43" s="747"/>
      <c r="AM43" s="714"/>
      <c r="AN43" s="714"/>
      <c r="AO43" s="714"/>
      <c r="AP43" s="714"/>
    </row>
    <row r="44" customFormat="false" ht="12.75" hidden="true" customHeight="false" outlineLevel="1" collapsed="false">
      <c r="A44" s="766" t="s">
        <v>348</v>
      </c>
      <c r="B44" s="767"/>
      <c r="C44" s="767"/>
      <c r="D44" s="767"/>
      <c r="E44" s="767"/>
      <c r="F44" s="768"/>
      <c r="G44" s="768"/>
      <c r="H44" s="768"/>
      <c r="I44" s="768"/>
      <c r="J44" s="768"/>
      <c r="K44" s="85"/>
      <c r="L44" s="85"/>
      <c r="M44" s="85"/>
      <c r="N44" s="85"/>
      <c r="O44" s="769"/>
      <c r="Q44" s="692"/>
      <c r="R44" s="692"/>
      <c r="S44" s="692"/>
      <c r="T44" s="692"/>
      <c r="U44" s="692"/>
      <c r="V44" s="692"/>
      <c r="W44" s="692"/>
      <c r="X44" s="692"/>
      <c r="Y44" s="692"/>
      <c r="Z44" s="692"/>
      <c r="AA44" s="692"/>
      <c r="AB44" s="692"/>
      <c r="AC44" s="770"/>
      <c r="AD44" s="771"/>
      <c r="AE44" s="752"/>
      <c r="AF44" s="752"/>
      <c r="AG44" s="752"/>
      <c r="AH44" s="752"/>
      <c r="AI44" s="752"/>
      <c r="AJ44" s="752"/>
      <c r="AK44" s="771"/>
      <c r="AL44" s="770"/>
      <c r="AM44" s="770"/>
      <c r="AN44" s="770"/>
      <c r="AO44" s="770"/>
      <c r="AP44" s="770"/>
    </row>
    <row r="45" customFormat="false" ht="12.75" hidden="true" customHeight="false" outlineLevel="1" collapsed="false">
      <c r="A45" s="704" t="s">
        <v>349</v>
      </c>
      <c r="B45" s="704"/>
      <c r="C45" s="704"/>
      <c r="D45" s="704"/>
      <c r="E45" s="704"/>
      <c r="F45" s="772" t="n">
        <f aca="false">'Unlev. Consolid'!H111</f>
        <v>411697.767598321</v>
      </c>
      <c r="G45" s="772" t="n">
        <f aca="false">'Unlev. Consolid'!I111</f>
        <v>340227.266980651</v>
      </c>
      <c r="H45" s="772" t="n">
        <f aca="false">'Unlev. Consolid'!J111</f>
        <v>659011.273118547</v>
      </c>
      <c r="I45" s="772" t="n">
        <f aca="false">'Unlev. Consolid'!K111</f>
        <v>754000.991516307</v>
      </c>
      <c r="J45" s="772" t="n">
        <f aca="false">'Unlev. Consolid'!L111</f>
        <v>751407.692686725</v>
      </c>
      <c r="K45" s="772" t="n">
        <f aca="false">'Unlev. Consolid'!M111</f>
        <v>765871.642546946</v>
      </c>
      <c r="L45" s="772" t="n">
        <f aca="false">'Unlev. Consolid'!N111</f>
        <v>774297.796900631</v>
      </c>
      <c r="M45" s="772" t="n">
        <f aca="false">'Unlev. Consolid'!O111</f>
        <v>783684.587085505</v>
      </c>
      <c r="N45" s="772" t="n">
        <f aca="false">'Unlev. Consolid'!P111</f>
        <v>755780.864967975</v>
      </c>
      <c r="O45" s="704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73"/>
      <c r="AD45" s="774"/>
      <c r="AE45" s="752"/>
      <c r="AF45" s="752"/>
      <c r="AG45" s="752"/>
      <c r="AH45" s="752"/>
      <c r="AI45" s="752"/>
      <c r="AJ45" s="752"/>
      <c r="AK45" s="774"/>
      <c r="AL45" s="773"/>
      <c r="AM45" s="773"/>
      <c r="AN45" s="773"/>
      <c r="AO45" s="773"/>
      <c r="AP45" s="773"/>
    </row>
    <row r="46" customFormat="false" ht="12.75" hidden="true" customHeight="false" outlineLevel="1" collapsed="false">
      <c r="A46" s="245" t="s">
        <v>350</v>
      </c>
      <c r="B46" s="245"/>
      <c r="C46" s="245"/>
      <c r="D46" s="245"/>
      <c r="E46" s="245"/>
      <c r="F46" s="775" t="e">
        <f aca="false">-(#REF!-#REF!)</f>
        <v>#REF!</v>
      </c>
      <c r="G46" s="775" t="e">
        <f aca="false">-(#REF!-#REF!)</f>
        <v>#REF!</v>
      </c>
      <c r="H46" s="775" t="e">
        <f aca="false">-(#REF!-#REF!)</f>
        <v>#REF!</v>
      </c>
      <c r="I46" s="775" t="e">
        <f aca="false">-(#REF!-#REF!)</f>
        <v>#REF!</v>
      </c>
      <c r="J46" s="775" t="e">
        <f aca="false">-(#REF!-#REF!)</f>
        <v>#REF!</v>
      </c>
      <c r="K46" s="146"/>
      <c r="L46" s="146"/>
      <c r="M46" s="146"/>
      <c r="N46" s="146"/>
      <c r="O46" s="776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777"/>
      <c r="AD46" s="778"/>
      <c r="AE46" s="752"/>
      <c r="AF46" s="752"/>
      <c r="AG46" s="752"/>
      <c r="AH46" s="752"/>
      <c r="AI46" s="752"/>
      <c r="AJ46" s="752"/>
      <c r="AK46" s="778"/>
      <c r="AL46" s="777"/>
      <c r="AM46" s="777"/>
      <c r="AN46" s="777"/>
      <c r="AO46" s="777"/>
      <c r="AP46" s="777"/>
    </row>
    <row r="47" customFormat="false" ht="12.75" hidden="true" customHeight="false" outlineLevel="1" collapsed="false">
      <c r="A47" s="386" t="s">
        <v>351</v>
      </c>
      <c r="B47" s="386"/>
      <c r="C47" s="386"/>
      <c r="D47" s="386"/>
      <c r="E47" s="386"/>
      <c r="F47" s="779" t="e">
        <f aca="false">SUM(F45:F46)</f>
        <v>#REF!</v>
      </c>
      <c r="G47" s="779" t="e">
        <f aca="false">SUM(G45:G46)</f>
        <v>#REF!</v>
      </c>
      <c r="H47" s="779" t="e">
        <f aca="false">SUM(H45:H46)</f>
        <v>#REF!</v>
      </c>
      <c r="I47" s="779" t="e">
        <f aca="false">SUM(I45:I46)</f>
        <v>#REF!</v>
      </c>
      <c r="J47" s="779" t="e">
        <f aca="false">SUM(J45:J46)</f>
        <v>#REF!</v>
      </c>
      <c r="K47" s="146"/>
      <c r="L47" s="146"/>
      <c r="M47" s="146"/>
      <c r="N47" s="146"/>
      <c r="O47" s="77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780"/>
      <c r="AD47" s="781"/>
      <c r="AE47" s="752"/>
      <c r="AF47" s="752"/>
      <c r="AG47" s="752"/>
      <c r="AH47" s="752"/>
      <c r="AI47" s="752"/>
      <c r="AJ47" s="752"/>
      <c r="AK47" s="781"/>
      <c r="AL47" s="780"/>
      <c r="AM47" s="780"/>
      <c r="AN47" s="780"/>
      <c r="AO47" s="780"/>
      <c r="AP47" s="780"/>
    </row>
    <row r="48" customFormat="false" ht="12.75" hidden="true" customHeight="false" outlineLevel="1" collapsed="false">
      <c r="A48" s="437"/>
      <c r="B48" s="437"/>
      <c r="C48" s="437"/>
      <c r="D48" s="437"/>
      <c r="E48" s="782" t="str">
        <f aca="false">+'[4]Financing Assumptions'!E33</f>
        <v>Debt Cash Sweep</v>
      </c>
      <c r="F48" s="783" t="e">
        <f aca="false">IF((F47)&lt;=0,0,#REF!*(F47))</f>
        <v>#REF!</v>
      </c>
      <c r="G48" s="783" t="e">
        <f aca="false">IF((G47)&lt;=0,0,#REF!*(G47))</f>
        <v>#REF!</v>
      </c>
      <c r="H48" s="783" t="e">
        <f aca="false">IF((H47)&lt;=0,0,#REF!*(H47))</f>
        <v>#REF!</v>
      </c>
      <c r="I48" s="783" t="e">
        <f aca="false">IF((I47)&lt;=0,0,#REF!*(I47))</f>
        <v>#REF!</v>
      </c>
      <c r="J48" s="783" t="e">
        <f aca="false">IF((J47)&lt;=0,0,#REF!*(J47))</f>
        <v>#REF!</v>
      </c>
      <c r="K48" s="146"/>
      <c r="L48" s="146"/>
      <c r="M48" s="146"/>
      <c r="N48" s="146"/>
      <c r="O48" s="783"/>
      <c r="Q48" s="26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780"/>
      <c r="AD48" s="781"/>
      <c r="AE48" s="752"/>
      <c r="AF48" s="781"/>
      <c r="AG48" s="781"/>
      <c r="AH48" s="781"/>
      <c r="AI48" s="781"/>
      <c r="AJ48" s="781"/>
      <c r="AK48" s="781"/>
      <c r="AL48" s="780"/>
      <c r="AM48" s="780"/>
      <c r="AN48" s="780"/>
      <c r="AO48" s="780"/>
      <c r="AP48" s="780"/>
    </row>
    <row r="49" customFormat="false" ht="12.75" hidden="true" customHeight="false" outlineLevel="1" collapsed="false">
      <c r="A49" s="245" t="str">
        <f aca="false">+A7</f>
        <v>Senior Tranche A (US$)</v>
      </c>
      <c r="B49" s="386"/>
      <c r="C49" s="386"/>
      <c r="D49" s="386"/>
      <c r="E49" s="386"/>
      <c r="F49" s="697" t="n">
        <f aca="false">IF($K$7=0,0,IF((F24+F25)&gt;F48,IF((F24+F25)&lt;=0,0,F48),(F24+F25)))</f>
        <v>0</v>
      </c>
      <c r="G49" s="697" t="n">
        <f aca="false">IF($K$7=0,0,IF((G24+G25)&gt;G48,IF((G24+G25)&lt;=0,0,G48),(G24+G25)))</f>
        <v>0</v>
      </c>
      <c r="H49" s="697" t="n">
        <f aca="false">IF($K$7=0,0,IF((H24+H25)&gt;H48,IF((H24+H25)&lt;=0,0,H48),(H24+H25)))</f>
        <v>0</v>
      </c>
      <c r="I49" s="697" t="n">
        <f aca="false">IF($K$7=0,0,IF((I24+I25)&gt;I48,IF((I24+I25)&lt;=0,0,I48),(I24+I25)))</f>
        <v>0</v>
      </c>
      <c r="J49" s="697" t="n">
        <f aca="false">IF($K$7=0,0,IF((J24+J25)&gt;J48,IF((J24+J25)&lt;=0,0,J48),(J24+J25)))</f>
        <v>0</v>
      </c>
      <c r="K49" s="146"/>
      <c r="L49" s="146"/>
      <c r="M49" s="146"/>
      <c r="N49" s="146"/>
      <c r="O49" s="697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780"/>
      <c r="AD49" s="781"/>
      <c r="AE49" s="781"/>
      <c r="AF49" s="781"/>
      <c r="AG49" s="781"/>
      <c r="AH49" s="781"/>
      <c r="AI49" s="781"/>
      <c r="AJ49" s="781"/>
      <c r="AK49" s="781"/>
      <c r="AL49" s="780"/>
      <c r="AM49" s="780"/>
      <c r="AN49" s="780"/>
      <c r="AO49" s="780"/>
      <c r="AP49" s="780"/>
    </row>
    <row r="50" customFormat="false" ht="12.75" hidden="true" customHeight="false" outlineLevel="1" collapsed="false">
      <c r="A50" s="245" t="str">
        <f aca="false">+A8</f>
        <v>Senior Tranche B (US$)</v>
      </c>
      <c r="B50" s="386"/>
      <c r="C50" s="386"/>
      <c r="D50" s="386"/>
      <c r="E50" s="386"/>
      <c r="F50" s="697" t="n">
        <f aca="false">IF($K$8=0,0,IF(F48=F49,0,IF(F31+F32&gt;=0,IF((F31+F32)&lt;F48,F31+F32,F48-F49),0)))</f>
        <v>0</v>
      </c>
      <c r="G50" s="697" t="n">
        <f aca="false">IF($K$8=0,0,IF(G48=G49,0,IF(G31+G32&gt;=0,IF((G31+G32)&lt;G48,G31+G32,G48-G49),0)))</f>
        <v>0</v>
      </c>
      <c r="H50" s="697" t="n">
        <f aca="false">IF($K$8=0,0,IF(H48=H49,0,IF(H31+H32&gt;=0,IF((H31+H32)&lt;H48-H49,H31+H32,H48-H49),0)))</f>
        <v>0</v>
      </c>
      <c r="I50" s="697" t="n">
        <f aca="false">IF($K$8=0,0,IF(I48=I49,0,IF(I31+I32&gt;=0,IF((I31+I32)&lt;I48-I49,I31+I32,I48-I49),0)))</f>
        <v>0</v>
      </c>
      <c r="J50" s="697" t="n">
        <f aca="false">IF($K$8=0,0,IF(J48=J49,0,IF(J31+J32&gt;=0,IF((J31+J32)&lt;J48-J49,J31+J32,J48-J49),0)))</f>
        <v>0</v>
      </c>
      <c r="K50" s="146"/>
      <c r="L50" s="146"/>
      <c r="M50" s="146"/>
      <c r="N50" s="146"/>
      <c r="O50" s="697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780"/>
      <c r="AD50" s="781"/>
      <c r="AE50" s="781"/>
      <c r="AF50" s="781"/>
      <c r="AG50" s="781"/>
      <c r="AH50" s="781"/>
      <c r="AI50" s="781"/>
      <c r="AJ50" s="781"/>
      <c r="AK50" s="781"/>
      <c r="AL50" s="780"/>
      <c r="AM50" s="780"/>
      <c r="AN50" s="780"/>
      <c r="AO50" s="780"/>
      <c r="AP50" s="780"/>
    </row>
    <row r="51" customFormat="false" ht="12.75" hidden="true" customHeight="false" outlineLevel="1" collapsed="false">
      <c r="A51" s="270" t="str">
        <f aca="false">+A9</f>
        <v>Junior Debt (US$)</v>
      </c>
      <c r="B51" s="524"/>
      <c r="C51" s="524"/>
      <c r="D51" s="524"/>
      <c r="E51" s="524"/>
      <c r="F51" s="138" t="n">
        <f aca="false">IF($K$9=0,0,IF(F48=F49,0,IF(F48=F49+F50,0,IF((F38+F39)&gt;=0,IF((F38+F39)&lt;F48,F38+F39,(F48)-F49-F50),0))))</f>
        <v>0</v>
      </c>
      <c r="G51" s="138" t="n">
        <f aca="false">IF($K$9=0,0,IF(G48=G49,0,IF(G48=G49+G50,0,IF((G38+G39)&gt;=0,IF((G38+G39)&lt;G48,G38+G39,(G48)-G49-G50),0))))</f>
        <v>0</v>
      </c>
      <c r="H51" s="138" t="n">
        <f aca="false">IF($K$9=0,0,IF(H48=H49,0,IF(H48=H49+H50,0,IF((H38+H39)&gt;=0,IF((H38+H39)&lt;H48,H38+H39,(H48)-H49-H50),0))))</f>
        <v>0</v>
      </c>
      <c r="I51" s="138" t="n">
        <f aca="false">IF($K$9=0,0,IF(I48=I49,0,IF(I48=I49+I50,0,IF((I38+I39)&gt;=0,IF((I38+I39)&lt;I48-I49-I50,I38+I39,I48-I49-I50),0))))</f>
        <v>0</v>
      </c>
      <c r="J51" s="138" t="n">
        <f aca="false">IF($K$9=0,0,IF(J48=J49,0,IF(J48=J49+J50,0,IF((J38+J39)&gt;=0,IF((J38+J39)&lt;J48,J38+J39,(J48)-J49-J50),0))))</f>
        <v>0</v>
      </c>
      <c r="K51" s="146"/>
      <c r="L51" s="146"/>
      <c r="M51" s="146"/>
      <c r="N51" s="146"/>
      <c r="O51" s="697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780"/>
      <c r="AD51" s="781"/>
      <c r="AE51" s="781"/>
      <c r="AF51" s="781"/>
      <c r="AG51" s="781"/>
      <c r="AH51" s="781"/>
      <c r="AI51" s="781"/>
      <c r="AJ51" s="781"/>
      <c r="AK51" s="781"/>
      <c r="AL51" s="780"/>
      <c r="AM51" s="780"/>
      <c r="AN51" s="780"/>
      <c r="AO51" s="780"/>
      <c r="AP51" s="780"/>
    </row>
    <row r="52" customFormat="false" ht="12.75" hidden="true" customHeight="false" outlineLevel="1" collapsed="false">
      <c r="A52" s="245"/>
      <c r="B52" s="386"/>
      <c r="C52" s="386"/>
      <c r="D52" s="386"/>
      <c r="E52" s="386"/>
      <c r="F52" s="386"/>
      <c r="G52" s="697"/>
      <c r="H52" s="697"/>
      <c r="I52" s="697"/>
      <c r="J52" s="697"/>
      <c r="K52" s="697"/>
      <c r="L52" s="146"/>
      <c r="M52" s="146"/>
      <c r="N52" s="146"/>
      <c r="O52" s="146"/>
      <c r="P52" s="697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780"/>
      <c r="AD52" s="781"/>
      <c r="AE52" s="781"/>
      <c r="AF52" s="781"/>
      <c r="AG52" s="781"/>
      <c r="AH52" s="781"/>
      <c r="AI52" s="781"/>
      <c r="AJ52" s="781"/>
      <c r="AK52" s="781"/>
      <c r="AL52" s="780"/>
      <c r="AM52" s="780"/>
      <c r="AN52" s="780"/>
      <c r="AO52" s="780"/>
      <c r="AP52" s="780"/>
    </row>
    <row r="53" customFormat="false" ht="12.75" hidden="false" customHeight="false" outlineLevel="0" collapsed="false">
      <c r="A53" s="244"/>
      <c r="B53" s="243"/>
      <c r="C53" s="243"/>
      <c r="D53" s="243"/>
      <c r="E53" s="243"/>
      <c r="F53" s="243"/>
      <c r="G53" s="784"/>
      <c r="H53" s="784"/>
      <c r="I53" s="784"/>
      <c r="J53" s="784"/>
      <c r="K53" s="784"/>
      <c r="L53" s="240"/>
      <c r="M53" s="146"/>
      <c r="N53" s="146"/>
      <c r="O53" s="146"/>
      <c r="P53" s="697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780"/>
      <c r="AD53" s="780"/>
      <c r="AE53" s="780"/>
      <c r="AF53" s="780"/>
      <c r="AG53" s="780"/>
      <c r="AH53" s="780"/>
      <c r="AI53" s="780"/>
      <c r="AJ53" s="780"/>
      <c r="AK53" s="780"/>
      <c r="AL53" s="780"/>
      <c r="AM53" s="780"/>
      <c r="AN53" s="780"/>
      <c r="AO53" s="780"/>
      <c r="AP53" s="780"/>
    </row>
    <row r="54" customFormat="false" ht="18" hidden="false" customHeight="false" outlineLevel="0" collapsed="false">
      <c r="A54" s="785" t="s">
        <v>352</v>
      </c>
      <c r="B54" s="211"/>
      <c r="C54" s="211"/>
      <c r="D54" s="211"/>
      <c r="E54" s="211"/>
      <c r="F54" s="211"/>
      <c r="G54" s="256"/>
      <c r="H54" s="256"/>
      <c r="I54" s="256"/>
      <c r="J54" s="256"/>
      <c r="K54" s="256"/>
      <c r="L54" s="786"/>
      <c r="M54" s="85"/>
      <c r="N54" s="85"/>
      <c r="O54" s="146"/>
      <c r="P54" s="697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780"/>
      <c r="AD54" s="780"/>
      <c r="AE54" s="780"/>
      <c r="AF54" s="780"/>
      <c r="AG54" s="780"/>
      <c r="AH54" s="780"/>
      <c r="AI54" s="780"/>
      <c r="AJ54" s="780"/>
      <c r="AK54" s="780"/>
      <c r="AL54" s="780"/>
      <c r="AM54" s="780"/>
      <c r="AN54" s="780"/>
      <c r="AO54" s="780"/>
      <c r="AP54" s="780"/>
    </row>
    <row r="55" customFormat="false" ht="12.75" hidden="false" customHeight="false" outlineLevel="0" collapsed="false">
      <c r="A55" s="244"/>
      <c r="B55" s="243"/>
      <c r="C55" s="243"/>
      <c r="D55" s="243"/>
      <c r="E55" s="243"/>
      <c r="F55" s="243"/>
      <c r="G55" s="784"/>
      <c r="H55" s="784"/>
      <c r="I55" s="784"/>
      <c r="J55" s="784"/>
      <c r="K55" s="784"/>
      <c r="L55" s="240"/>
      <c r="M55" s="146"/>
      <c r="N55" s="146"/>
      <c r="O55" s="146"/>
      <c r="P55" s="697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780"/>
      <c r="AD55" s="780"/>
      <c r="AE55" s="780"/>
      <c r="AF55" s="780"/>
      <c r="AG55" s="780"/>
      <c r="AH55" s="780"/>
      <c r="AI55" s="780"/>
      <c r="AJ55" s="780"/>
      <c r="AK55" s="780"/>
      <c r="AL55" s="780"/>
      <c r="AM55" s="780"/>
      <c r="AN55" s="780"/>
      <c r="AO55" s="780"/>
      <c r="AP55" s="780"/>
    </row>
    <row r="56" customFormat="false" ht="15.75" hidden="false" customHeight="false" outlineLevel="0" collapsed="false">
      <c r="A56" s="787" t="s">
        <v>353</v>
      </c>
      <c r="B56" s="788"/>
      <c r="C56" s="788"/>
      <c r="D56" s="788"/>
      <c r="E56" s="294" t="s">
        <v>156</v>
      </c>
      <c r="F56" s="295"/>
      <c r="G56" s="293"/>
      <c r="H56" s="293"/>
      <c r="I56" s="296"/>
      <c r="J56" s="293"/>
      <c r="K56" s="296"/>
      <c r="L56" s="296"/>
      <c r="M56" s="296"/>
      <c r="N56" s="296"/>
      <c r="O56" s="146"/>
      <c r="P56" s="697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780"/>
      <c r="AD56" s="780"/>
      <c r="AE56" s="780"/>
      <c r="AF56" s="780"/>
      <c r="AG56" s="780"/>
      <c r="AH56" s="780"/>
      <c r="AI56" s="780"/>
      <c r="AJ56" s="780"/>
      <c r="AK56" s="780"/>
      <c r="AL56" s="780"/>
      <c r="AM56" s="780"/>
      <c r="AN56" s="780"/>
      <c r="AO56" s="780"/>
      <c r="AP56" s="780"/>
    </row>
    <row r="57" customFormat="false" ht="15.75" hidden="false" customHeight="false" outlineLevel="0" collapsed="false">
      <c r="A57" s="789" t="s">
        <v>354</v>
      </c>
      <c r="B57" s="421"/>
      <c r="C57" s="421"/>
      <c r="D57" s="421"/>
      <c r="E57" s="452" t="n">
        <v>2001</v>
      </c>
      <c r="F57" s="790" t="n">
        <v>2002</v>
      </c>
      <c r="G57" s="790" t="n">
        <v>2003</v>
      </c>
      <c r="H57" s="790" t="n">
        <v>2004</v>
      </c>
      <c r="I57" s="790" t="n">
        <v>2005</v>
      </c>
      <c r="J57" s="790" t="n">
        <v>2006</v>
      </c>
      <c r="K57" s="302" t="n">
        <v>2007</v>
      </c>
      <c r="L57" s="302" t="n">
        <v>2008</v>
      </c>
      <c r="M57" s="302" t="n">
        <v>2009</v>
      </c>
      <c r="N57" s="791" t="n">
        <v>2010</v>
      </c>
      <c r="O57" s="146"/>
      <c r="P57" s="792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780"/>
      <c r="AD57" s="780"/>
      <c r="AE57" s="780"/>
      <c r="AF57" s="780"/>
      <c r="AG57" s="780"/>
      <c r="AH57" s="780"/>
      <c r="AI57" s="780"/>
      <c r="AJ57" s="780"/>
      <c r="AK57" s="780"/>
      <c r="AL57" s="780"/>
      <c r="AM57" s="780"/>
      <c r="AN57" s="780"/>
      <c r="AO57" s="780"/>
      <c r="AP57" s="780"/>
    </row>
    <row r="58" customFormat="false" ht="15.75" hidden="false" customHeight="false" outlineLevel="0" collapsed="false">
      <c r="A58" s="793"/>
      <c r="B58" s="243"/>
      <c r="C58" s="243"/>
      <c r="D58" s="794" t="s">
        <v>157</v>
      </c>
      <c r="E58" s="413" t="n">
        <v>1</v>
      </c>
      <c r="F58" s="795" t="n">
        <v>2</v>
      </c>
      <c r="G58" s="795" t="n">
        <v>3</v>
      </c>
      <c r="H58" s="795" t="n">
        <v>4</v>
      </c>
      <c r="I58" s="795" t="n">
        <v>5</v>
      </c>
      <c r="J58" s="795" t="n">
        <v>6</v>
      </c>
      <c r="K58" s="795" t="n">
        <v>7</v>
      </c>
      <c r="L58" s="795" t="n">
        <v>8</v>
      </c>
      <c r="M58" s="795" t="n">
        <v>9</v>
      </c>
      <c r="N58" s="795" t="n">
        <v>10</v>
      </c>
      <c r="O58" s="146"/>
      <c r="P58" s="792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780"/>
      <c r="AD58" s="780"/>
      <c r="AE58" s="780"/>
      <c r="AF58" s="780"/>
      <c r="AG58" s="780"/>
      <c r="AH58" s="780"/>
      <c r="AI58" s="780"/>
      <c r="AJ58" s="780"/>
      <c r="AK58" s="780"/>
      <c r="AL58" s="780"/>
      <c r="AM58" s="780"/>
      <c r="AN58" s="780"/>
      <c r="AO58" s="780"/>
      <c r="AP58" s="780"/>
    </row>
    <row r="59" customFormat="false" ht="12.75" hidden="false" customHeight="false" outlineLevel="0" collapsed="false">
      <c r="A59" s="796" t="str">
        <f aca="false">A7</f>
        <v>Senior Tranche A (US$)</v>
      </c>
      <c r="B59" s="244"/>
      <c r="C59" s="244"/>
      <c r="D59" s="244"/>
      <c r="E59" s="472" t="n">
        <f aca="false">IF(Assumptions!$F$44=E58,Debt!$F$7,0)</f>
        <v>0</v>
      </c>
      <c r="F59" s="472" t="n">
        <f aca="false">IF(Assumptions!$F$44=F58,Debt!$F$7,0)</f>
        <v>0</v>
      </c>
      <c r="G59" s="472" t="n">
        <f aca="false">IF(Assumptions!$F$44=G58,Debt!$F$7,0)</f>
        <v>0</v>
      </c>
      <c r="H59" s="472" t="n">
        <f aca="false">IF(Assumptions!$F$44=H58,Debt!$F$7,0)</f>
        <v>0</v>
      </c>
      <c r="I59" s="472" t="n">
        <f aca="false">IF(Assumptions!$F$44=I58,Debt!$F$7,0)</f>
        <v>0</v>
      </c>
      <c r="J59" s="472" t="n">
        <f aca="false">IF(Assumptions!$F$44=J58,Debt!$F$7,0)</f>
        <v>0</v>
      </c>
      <c r="K59" s="472" t="n">
        <f aca="false">IF(Assumptions!$F$44=K58,Debt!$F$7,0)</f>
        <v>0</v>
      </c>
      <c r="L59" s="472" t="n">
        <f aca="false">IF(Assumptions!$F$44=L58,Debt!$F$7,0)</f>
        <v>0</v>
      </c>
      <c r="M59" s="472" t="n">
        <f aca="false">IF(Assumptions!$F$44=M58,Debt!$F$7,0)</f>
        <v>0</v>
      </c>
      <c r="N59" s="472" t="n">
        <f aca="false">IF(Assumptions!$F$44=N58,Debt!$F$7,0)</f>
        <v>3617664.3129064</v>
      </c>
      <c r="O59" s="146"/>
      <c r="P59" s="24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777"/>
      <c r="AD59" s="777"/>
      <c r="AE59" s="777"/>
      <c r="AF59" s="777"/>
      <c r="AG59" s="777"/>
      <c r="AH59" s="777"/>
      <c r="AI59" s="777"/>
      <c r="AJ59" s="777"/>
      <c r="AK59" s="777"/>
      <c r="AL59" s="777"/>
      <c r="AM59" s="777"/>
      <c r="AN59" s="777"/>
      <c r="AO59" s="777"/>
      <c r="AP59" s="777"/>
    </row>
    <row r="60" customFormat="false" ht="12.75" hidden="false" customHeight="false" outlineLevel="0" collapsed="false">
      <c r="A60" s="796" t="str">
        <f aca="false">A8</f>
        <v>Senior Tranche B (US$)</v>
      </c>
      <c r="B60" s="244"/>
      <c r="C60" s="244"/>
      <c r="D60" s="244"/>
      <c r="E60" s="472" t="n">
        <f aca="false">IF(Assumptions!$F$45=E58,Debt!$F$8,0)</f>
        <v>0</v>
      </c>
      <c r="F60" s="472" t="n">
        <f aca="false">IF(Assumptions!$F$45=F58,Debt!$F$8,0)</f>
        <v>0</v>
      </c>
      <c r="G60" s="472" t="n">
        <f aca="false">IF(Assumptions!$F$45=G58,Debt!$F$8,0)</f>
        <v>0</v>
      </c>
      <c r="H60" s="472" t="n">
        <f aca="false">IF(Assumptions!$F$45=H58,Debt!$F$8,0)</f>
        <v>0</v>
      </c>
      <c r="I60" s="472" t="n">
        <f aca="false">IF(Assumptions!$F$45=I58,Debt!$F$8,0)</f>
        <v>0</v>
      </c>
      <c r="J60" s="472" t="n">
        <f aca="false">IF(Assumptions!$F$45=J58,Debt!$F$8,0)</f>
        <v>0</v>
      </c>
      <c r="K60" s="472" t="n">
        <f aca="false">IF(Assumptions!$F$45=K58,Debt!$F$8,0)</f>
        <v>0</v>
      </c>
      <c r="L60" s="472" t="n">
        <f aca="false">IF(Assumptions!$F$45=L58,Debt!$F$8,0)</f>
        <v>0</v>
      </c>
      <c r="M60" s="472" t="n">
        <f aca="false">IF(Assumptions!$F$45=M58,Debt!$F$8,0)</f>
        <v>0</v>
      </c>
      <c r="N60" s="472" t="n">
        <f aca="false">IF(Assumptions!$F$45=N58,Debt!$F$8,0)</f>
        <v>0</v>
      </c>
      <c r="O60" s="146"/>
      <c r="P60" s="24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777"/>
      <c r="AD60" s="777"/>
      <c r="AE60" s="777"/>
      <c r="AF60" s="777"/>
      <c r="AG60" s="777"/>
      <c r="AH60" s="777"/>
      <c r="AI60" s="777"/>
      <c r="AJ60" s="777"/>
      <c r="AK60" s="777"/>
      <c r="AL60" s="777"/>
      <c r="AM60" s="777"/>
      <c r="AN60" s="777"/>
      <c r="AO60" s="777"/>
      <c r="AP60" s="777"/>
    </row>
    <row r="61" customFormat="false" ht="12.75" hidden="false" customHeight="false" outlineLevel="0" collapsed="false">
      <c r="A61" s="797" t="str">
        <f aca="false">A9</f>
        <v>Junior Debt (US$)</v>
      </c>
      <c r="B61" s="798"/>
      <c r="C61" s="798"/>
      <c r="D61" s="798"/>
      <c r="E61" s="474" t="n">
        <f aca="false">IF(Assumptions!$F$46=E58,Debt!$F$9,0)</f>
        <v>0</v>
      </c>
      <c r="F61" s="474" t="n">
        <f aca="false">IF(Assumptions!$F$46=F58,Debt!$F$9,0)</f>
        <v>0</v>
      </c>
      <c r="G61" s="474" t="n">
        <f aca="false">IF(Assumptions!$F$46=G58,Debt!$F$9,0)</f>
        <v>0</v>
      </c>
      <c r="H61" s="474" t="n">
        <f aca="false">IF(Assumptions!$F$46=H58,Debt!$F$9,0)</f>
        <v>0</v>
      </c>
      <c r="I61" s="474" t="n">
        <f aca="false">IF(Assumptions!$F$46=I58,Debt!$F$9,0)</f>
        <v>0</v>
      </c>
      <c r="J61" s="474" t="n">
        <f aca="false">IF(Assumptions!$F$46=J58,Debt!$F$9,0)</f>
        <v>0</v>
      </c>
      <c r="K61" s="474" t="n">
        <f aca="false">IF(Assumptions!$F$46=K58,Debt!$F$9,0)</f>
        <v>0</v>
      </c>
      <c r="L61" s="474" t="n">
        <f aca="false">IF(Assumptions!$F$46=L58,Debt!$F$9,0)</f>
        <v>0</v>
      </c>
      <c r="M61" s="474" t="n">
        <f aca="false">IF(Assumptions!$F$46=M58,Debt!$F$9,0)</f>
        <v>0</v>
      </c>
      <c r="N61" s="474" t="n">
        <f aca="false">IF(Assumptions!$F$46=N58,Debt!$F$9,0)</f>
        <v>0</v>
      </c>
      <c r="O61" s="146"/>
      <c r="P61" s="245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688"/>
      <c r="AD61" s="688"/>
      <c r="AE61" s="688"/>
      <c r="AF61" s="688"/>
      <c r="AG61" s="688"/>
      <c r="AH61" s="688"/>
      <c r="AI61" s="688"/>
      <c r="AJ61" s="688"/>
      <c r="AK61" s="688"/>
      <c r="AL61" s="688"/>
      <c r="AM61" s="688"/>
      <c r="AN61" s="688"/>
      <c r="AO61" s="688"/>
      <c r="AP61" s="688"/>
    </row>
    <row r="62" customFormat="false" ht="12.75" hidden="false" customHeight="false" outlineLevel="0" collapsed="false">
      <c r="A62" s="240"/>
      <c r="B62" s="240"/>
      <c r="C62" s="240"/>
      <c r="D62" s="240"/>
      <c r="E62" s="240"/>
      <c r="F62" s="240"/>
      <c r="G62" s="799"/>
      <c r="H62" s="799"/>
      <c r="I62" s="799"/>
      <c r="J62" s="799"/>
      <c r="K62" s="799"/>
      <c r="L62" s="240"/>
      <c r="M62" s="146"/>
      <c r="N62" s="146"/>
      <c r="O62" s="146"/>
      <c r="P62" s="799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688"/>
      <c r="AD62" s="688"/>
      <c r="AE62" s="688"/>
      <c r="AF62" s="688"/>
      <c r="AG62" s="688"/>
      <c r="AH62" s="688"/>
      <c r="AI62" s="688"/>
      <c r="AJ62" s="688"/>
      <c r="AK62" s="688"/>
      <c r="AL62" s="688"/>
      <c r="AM62" s="688"/>
      <c r="AN62" s="688"/>
      <c r="AO62" s="688"/>
      <c r="AP62" s="688"/>
    </row>
    <row r="63" customFormat="false" ht="15.75" hidden="false" customHeight="false" outlineLevel="0" collapsed="false">
      <c r="A63" s="800" t="s">
        <v>355</v>
      </c>
      <c r="B63" s="240"/>
      <c r="C63" s="240"/>
      <c r="D63" s="240"/>
      <c r="E63" s="294" t="s">
        <v>156</v>
      </c>
      <c r="F63" s="295"/>
      <c r="G63" s="293"/>
      <c r="H63" s="293"/>
      <c r="I63" s="296"/>
      <c r="J63" s="293"/>
      <c r="K63" s="296"/>
      <c r="L63" s="296"/>
      <c r="M63" s="296"/>
      <c r="N63" s="296"/>
      <c r="O63" s="146"/>
      <c r="P63" s="801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688"/>
      <c r="AD63" s="688"/>
      <c r="AE63" s="688"/>
      <c r="AF63" s="688"/>
      <c r="AG63" s="688"/>
      <c r="AH63" s="688"/>
      <c r="AI63" s="688"/>
      <c r="AJ63" s="688"/>
      <c r="AK63" s="688"/>
      <c r="AL63" s="688"/>
      <c r="AM63" s="688"/>
      <c r="AN63" s="688"/>
      <c r="AO63" s="688"/>
      <c r="AP63" s="688"/>
    </row>
    <row r="64" customFormat="false" ht="15.75" hidden="false" customHeight="false" outlineLevel="0" collapsed="false">
      <c r="A64" s="802" t="s">
        <v>356</v>
      </c>
      <c r="B64" s="803"/>
      <c r="C64" s="803"/>
      <c r="D64" s="803"/>
      <c r="E64" s="297" t="n">
        <v>2001</v>
      </c>
      <c r="F64" s="298" t="n">
        <v>2002</v>
      </c>
      <c r="G64" s="298" t="n">
        <v>2003</v>
      </c>
      <c r="H64" s="298" t="n">
        <v>2004</v>
      </c>
      <c r="I64" s="298" t="n">
        <v>2005</v>
      </c>
      <c r="J64" s="298" t="n">
        <v>2006</v>
      </c>
      <c r="K64" s="299" t="n">
        <v>2007</v>
      </c>
      <c r="L64" s="299" t="n">
        <v>2008</v>
      </c>
      <c r="M64" s="299" t="n">
        <v>2009</v>
      </c>
      <c r="N64" s="299" t="n">
        <v>2010</v>
      </c>
      <c r="O64" s="146"/>
      <c r="P64" s="245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688"/>
      <c r="AD64" s="688"/>
      <c r="AE64" s="688"/>
      <c r="AF64" s="688"/>
      <c r="AG64" s="688"/>
      <c r="AH64" s="688"/>
      <c r="AI64" s="688"/>
      <c r="AJ64" s="688"/>
      <c r="AK64" s="688"/>
      <c r="AL64" s="688"/>
      <c r="AM64" s="688"/>
      <c r="AN64" s="688"/>
      <c r="AO64" s="688"/>
      <c r="AP64" s="688"/>
    </row>
    <row r="65" customFormat="false" ht="15.75" hidden="false" customHeight="false" outlineLevel="0" collapsed="false">
      <c r="A65" s="800"/>
      <c r="B65" s="240"/>
      <c r="C65" s="240"/>
      <c r="D65" s="794" t="s">
        <v>357</v>
      </c>
      <c r="E65" s="413" t="n">
        <v>1</v>
      </c>
      <c r="F65" s="795" t="n">
        <v>2</v>
      </c>
      <c r="G65" s="795" t="n">
        <v>3</v>
      </c>
      <c r="H65" s="795" t="n">
        <v>4</v>
      </c>
      <c r="I65" s="795" t="n">
        <v>5</v>
      </c>
      <c r="J65" s="795" t="n">
        <v>6</v>
      </c>
      <c r="K65" s="597" t="n">
        <v>7</v>
      </c>
      <c r="L65" s="597" t="n">
        <v>8</v>
      </c>
      <c r="M65" s="597" t="n">
        <v>9</v>
      </c>
      <c r="N65" s="597" t="n">
        <v>10</v>
      </c>
      <c r="O65" s="146"/>
      <c r="P65" s="245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688"/>
      <c r="AD65" s="688"/>
      <c r="AE65" s="688"/>
      <c r="AF65" s="688"/>
      <c r="AG65" s="688"/>
      <c r="AH65" s="688"/>
      <c r="AI65" s="688"/>
      <c r="AJ65" s="688"/>
      <c r="AK65" s="688"/>
      <c r="AL65" s="688"/>
      <c r="AM65" s="688"/>
      <c r="AN65" s="688"/>
      <c r="AO65" s="688"/>
      <c r="AP65" s="688"/>
    </row>
    <row r="66" customFormat="false" ht="12.75" hidden="false" customHeight="false" outlineLevel="0" collapsed="false">
      <c r="A66" s="804" t="str">
        <f aca="false">A7</f>
        <v>Senior Tranche A (US$)</v>
      </c>
      <c r="B66" s="803"/>
      <c r="C66" s="803"/>
      <c r="D66" s="803"/>
      <c r="E66" s="803"/>
      <c r="F66" s="803"/>
      <c r="G66" s="803"/>
      <c r="H66" s="803"/>
      <c r="I66" s="803"/>
      <c r="J66" s="803"/>
      <c r="K66" s="805"/>
      <c r="L66" s="805"/>
      <c r="M66" s="805"/>
      <c r="N66" s="805"/>
      <c r="O66" s="801"/>
      <c r="P66" s="801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688"/>
      <c r="AD66" s="688"/>
      <c r="AE66" s="688"/>
      <c r="AF66" s="688"/>
      <c r="AG66" s="688"/>
      <c r="AH66" s="688"/>
      <c r="AI66" s="688"/>
      <c r="AJ66" s="688"/>
      <c r="AK66" s="688"/>
      <c r="AL66" s="688"/>
      <c r="AM66" s="688"/>
      <c r="AN66" s="688"/>
      <c r="AO66" s="688"/>
      <c r="AP66" s="688"/>
    </row>
    <row r="67" customFormat="false" ht="12.75" hidden="false" customHeight="false" outlineLevel="0" collapsed="false">
      <c r="A67" s="806" t="s">
        <v>358</v>
      </c>
      <c r="B67" s="240"/>
      <c r="C67" s="240"/>
      <c r="D67" s="240"/>
      <c r="E67" s="807" t="n">
        <f aca="false">$F$7</f>
        <v>3617664.3129064</v>
      </c>
      <c r="F67" s="807" t="n">
        <f aca="false">E69</f>
        <v>3255897.88161576</v>
      </c>
      <c r="G67" s="807" t="n">
        <f aca="false">F69</f>
        <v>2894131.45032512</v>
      </c>
      <c r="H67" s="807" t="n">
        <f aca="false">G69</f>
        <v>2532365.01903448</v>
      </c>
      <c r="I67" s="807" t="n">
        <f aca="false">H69</f>
        <v>2170598.58774384</v>
      </c>
      <c r="J67" s="807" t="n">
        <f aca="false">I69</f>
        <v>1808832.1564532</v>
      </c>
      <c r="K67" s="807" t="n">
        <f aca="false">J69</f>
        <v>1447065.72516256</v>
      </c>
      <c r="L67" s="807" t="n">
        <f aca="false">K69</f>
        <v>1085299.29387192</v>
      </c>
      <c r="M67" s="807" t="n">
        <f aca="false">L69</f>
        <v>723532.86258128</v>
      </c>
      <c r="N67" s="807" t="n">
        <f aca="false">M69</f>
        <v>361766.431290641</v>
      </c>
      <c r="O67" s="801"/>
      <c r="P67" s="801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688"/>
      <c r="AD67" s="688"/>
      <c r="AE67" s="688"/>
      <c r="AF67" s="688"/>
      <c r="AG67" s="688"/>
      <c r="AH67" s="688"/>
      <c r="AI67" s="688"/>
      <c r="AJ67" s="688"/>
      <c r="AK67" s="688"/>
      <c r="AL67" s="688"/>
      <c r="AM67" s="688"/>
      <c r="AN67" s="688"/>
      <c r="AO67" s="688"/>
      <c r="AP67" s="688"/>
    </row>
    <row r="68" customFormat="false" ht="12.75" hidden="false" customHeight="false" outlineLevel="0" collapsed="false">
      <c r="A68" s="806" t="s">
        <v>359</v>
      </c>
      <c r="B68" s="240"/>
      <c r="C68" s="240"/>
      <c r="D68" s="240"/>
      <c r="E68" s="158" t="n">
        <f aca="false">IF(E65&lt;$H$7,($F$7*$J$7)/$H$7,IF(E65&gt;=$H$7,E67,0))</f>
        <v>361766.43129064</v>
      </c>
      <c r="F68" s="158" t="n">
        <f aca="false">IF(F65&lt;$H$7,($F$7*$J$7)/$H$7,IF(F65&gt;=$H$7,F67,0))</f>
        <v>361766.43129064</v>
      </c>
      <c r="G68" s="158" t="n">
        <f aca="false">IF(G65&lt;$H$7,($F$7*$J$7)/$H$7,IF(G65&gt;=$H$7,G67,0))</f>
        <v>361766.43129064</v>
      </c>
      <c r="H68" s="158" t="n">
        <f aca="false">IF(H65&lt;$H$7,($F$7*$J$7)/$H$7,IF(H65&gt;=$H$7,H67,0))</f>
        <v>361766.43129064</v>
      </c>
      <c r="I68" s="158" t="n">
        <f aca="false">IF(I65&lt;$H$7,($F$7*$J$7)/$H$7,IF(I65&gt;=$H$7,I67,0))</f>
        <v>361766.43129064</v>
      </c>
      <c r="J68" s="158" t="n">
        <f aca="false">IF(J65&lt;$H$7,($F$7*$J$7)/$H$7,IF(J65&gt;=$H$7,J67,0))</f>
        <v>361766.43129064</v>
      </c>
      <c r="K68" s="158" t="n">
        <f aca="false">IF(K65&lt;$H$7,($F$7*$J$7)/$H$7,IF(K65&gt;=$H$7,K67,0))</f>
        <v>361766.43129064</v>
      </c>
      <c r="L68" s="158" t="n">
        <f aca="false">IF(L65&lt;$H$7,($F$7*$J$7)/$H$7,IF(L65&gt;=$H$7,L67,0))</f>
        <v>361766.43129064</v>
      </c>
      <c r="M68" s="158" t="n">
        <f aca="false">IF(M65&lt;$H$7,($F$7*$J$7)/$H$7,IF(M65&gt;=$H$7,M67,0))</f>
        <v>361766.43129064</v>
      </c>
      <c r="N68" s="158" t="n">
        <f aca="false">IF(N65&lt;$H$7,($F$7*$J$7)/$H$7,IF(N65&gt;=$H$7,N67,0))</f>
        <v>361766.431290641</v>
      </c>
      <c r="O68" s="801"/>
      <c r="P68" s="801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688"/>
      <c r="AD68" s="688"/>
      <c r="AE68" s="688"/>
      <c r="AF68" s="688"/>
      <c r="AG68" s="688"/>
      <c r="AH68" s="688"/>
      <c r="AI68" s="688"/>
      <c r="AJ68" s="688"/>
      <c r="AK68" s="688"/>
      <c r="AL68" s="688"/>
      <c r="AM68" s="688"/>
      <c r="AN68" s="688"/>
      <c r="AO68" s="688"/>
      <c r="AP68" s="688"/>
    </row>
    <row r="69" customFormat="false" ht="12.75" hidden="false" customHeight="false" outlineLevel="0" collapsed="false">
      <c r="A69" s="806" t="s">
        <v>360</v>
      </c>
      <c r="B69" s="240"/>
      <c r="C69" s="240"/>
      <c r="D69" s="240"/>
      <c r="E69" s="807" t="n">
        <f aca="false">E67-E68</f>
        <v>3255897.88161576</v>
      </c>
      <c r="F69" s="807" t="n">
        <f aca="false">F67-F68</f>
        <v>2894131.45032512</v>
      </c>
      <c r="G69" s="807" t="n">
        <f aca="false">G67-G68</f>
        <v>2532365.01903448</v>
      </c>
      <c r="H69" s="807" t="n">
        <f aca="false">H67-H68</f>
        <v>2170598.58774384</v>
      </c>
      <c r="I69" s="807" t="n">
        <f aca="false">I67-I68</f>
        <v>1808832.1564532</v>
      </c>
      <c r="J69" s="807" t="n">
        <f aca="false">J67-J68</f>
        <v>1447065.72516256</v>
      </c>
      <c r="K69" s="807" t="n">
        <f aca="false">K67-K68</f>
        <v>1085299.29387192</v>
      </c>
      <c r="L69" s="807" t="n">
        <f aca="false">L67-L68</f>
        <v>723532.86258128</v>
      </c>
      <c r="M69" s="807" t="n">
        <f aca="false">M67-M68</f>
        <v>361766.431290641</v>
      </c>
      <c r="N69" s="807" t="n">
        <f aca="false">N67-N68</f>
        <v>0</v>
      </c>
      <c r="O69" s="801"/>
      <c r="P69" s="801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688"/>
      <c r="AD69" s="688"/>
      <c r="AE69" s="688"/>
      <c r="AF69" s="688"/>
      <c r="AG69" s="688"/>
      <c r="AH69" s="688"/>
      <c r="AI69" s="688"/>
      <c r="AJ69" s="688"/>
      <c r="AK69" s="688"/>
      <c r="AL69" s="688"/>
      <c r="AM69" s="688"/>
      <c r="AN69" s="688"/>
      <c r="AO69" s="688"/>
      <c r="AP69" s="688"/>
    </row>
    <row r="70" customFormat="false" ht="12.75" hidden="false" customHeight="false" outlineLevel="0" collapsed="false">
      <c r="A70" s="808" t="str">
        <f aca="false">A8</f>
        <v>Senior Tranche B (US$)</v>
      </c>
      <c r="B70" s="809"/>
      <c r="C70" s="809"/>
      <c r="D70" s="809"/>
      <c r="E70" s="809"/>
      <c r="F70" s="809"/>
      <c r="G70" s="809"/>
      <c r="H70" s="809"/>
      <c r="I70" s="809"/>
      <c r="J70" s="809"/>
      <c r="K70" s="805"/>
      <c r="L70" s="805"/>
      <c r="M70" s="805"/>
      <c r="N70" s="805"/>
      <c r="O70" s="801"/>
      <c r="P70" s="801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688"/>
      <c r="AD70" s="688"/>
      <c r="AE70" s="688"/>
      <c r="AF70" s="688"/>
      <c r="AG70" s="688"/>
      <c r="AH70" s="688"/>
      <c r="AI70" s="688"/>
      <c r="AJ70" s="688"/>
      <c r="AK70" s="688"/>
      <c r="AL70" s="688"/>
      <c r="AM70" s="688"/>
      <c r="AN70" s="688"/>
      <c r="AO70" s="688"/>
      <c r="AP70" s="688"/>
    </row>
    <row r="71" customFormat="false" ht="12.75" hidden="false" customHeight="false" outlineLevel="0" collapsed="false">
      <c r="A71" s="806" t="s">
        <v>358</v>
      </c>
      <c r="B71" s="240"/>
      <c r="C71" s="240"/>
      <c r="D71" s="240"/>
      <c r="E71" s="807" t="n">
        <f aca="false">$F$8</f>
        <v>0</v>
      </c>
      <c r="F71" s="807" t="n">
        <f aca="false">E73</f>
        <v>0</v>
      </c>
      <c r="G71" s="807" t="n">
        <f aca="false">F73</f>
        <v>0</v>
      </c>
      <c r="H71" s="807" t="n">
        <f aca="false">G73</f>
        <v>0</v>
      </c>
      <c r="I71" s="807" t="n">
        <f aca="false">H73</f>
        <v>0</v>
      </c>
      <c r="J71" s="807" t="n">
        <f aca="false">I73</f>
        <v>0</v>
      </c>
      <c r="K71" s="807" t="n">
        <f aca="false">J73</f>
        <v>0</v>
      </c>
      <c r="L71" s="807" t="n">
        <f aca="false">K73</f>
        <v>0</v>
      </c>
      <c r="M71" s="807" t="n">
        <f aca="false">L73</f>
        <v>0</v>
      </c>
      <c r="N71" s="807" t="n">
        <f aca="false">M73</f>
        <v>0</v>
      </c>
      <c r="O71" s="801"/>
      <c r="P71" s="801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688"/>
      <c r="AD71" s="688"/>
      <c r="AE71" s="688"/>
      <c r="AF71" s="688"/>
      <c r="AG71" s="688"/>
      <c r="AH71" s="688"/>
      <c r="AI71" s="688"/>
      <c r="AJ71" s="688"/>
      <c r="AK71" s="688"/>
      <c r="AL71" s="688"/>
      <c r="AM71" s="688"/>
      <c r="AN71" s="688"/>
      <c r="AO71" s="688"/>
      <c r="AP71" s="688"/>
    </row>
    <row r="72" customFormat="false" ht="12.75" hidden="false" customHeight="false" outlineLevel="0" collapsed="false">
      <c r="A72" s="806" t="s">
        <v>359</v>
      </c>
      <c r="B72" s="240"/>
      <c r="C72" s="240"/>
      <c r="D72" s="240"/>
      <c r="E72" s="158" t="n">
        <f aca="false">IF(E71&gt;=($F$8*$J$8)/$H$8,IF(E$65&lt;$H$8,($F$8*$J$8)/$H$8,IF(E$65&gt;=$H$8,E71,0)))</f>
        <v>0</v>
      </c>
      <c r="F72" s="158" t="n">
        <f aca="false">IF(F71&gt;=($F$8*$J$8)/$H$8,IF(F65&lt;$H$8,($F$8*$J$8)/$H$8,IF(F65&gt;=$H$8,F71,0)))</f>
        <v>0</v>
      </c>
      <c r="G72" s="158" t="n">
        <f aca="false">IF(G71&gt;=($F$8*$J$8)/$H$8,IF(G65&lt;$H$8,($F$8*$J$8)/$H$8,IF(G65&gt;=$H$8,G71,0)))</f>
        <v>0</v>
      </c>
      <c r="H72" s="158" t="n">
        <f aca="false">IF(H71&gt;=($F$8*$J$8)/$H$8,IF(H65&lt;$H$8,($F$8*$J$8)/$H$8,IF(H65&gt;=$H$8,H71,0)))</f>
        <v>0</v>
      </c>
      <c r="I72" s="158" t="n">
        <f aca="false">IF(I71&gt;=($F$8*$J$8)/$H$8,IF(I65&lt;$H$8,($F$8*$J$8)/$H$8,IF(I65&gt;=$H$8,I71,0)))</f>
        <v>0</v>
      </c>
      <c r="J72" s="158" t="n">
        <f aca="false">IF(J71&gt;=($F$8*$J$8)/$H$8,IF(J65&lt;$H$8,($F$8*$J$8)/$H$8,IF(J65&gt;=$H$8,J71,0)))</f>
        <v>0</v>
      </c>
      <c r="K72" s="158" t="n">
        <f aca="false">IF(K71&gt;=($F$8*$J$8)/$H$8,IF(K65&lt;$H$8,($F$8*$J$8)/$H$8,IF(K65&gt;=$H$8,K71,0)))</f>
        <v>0</v>
      </c>
      <c r="L72" s="158" t="n">
        <f aca="false">IF(L71&gt;=($F$8*$J$8)/$H$8,IF(L65&lt;$H$8,($F$8*$J$8)/$H$8,IF(L65&gt;=$H$8,L71,0)))</f>
        <v>0</v>
      </c>
      <c r="M72" s="158" t="n">
        <f aca="false">IF(M71&gt;=(($F$8*$J$8)/$H$8),IF(M65&lt;$H$8,(($F$8*$J$8)/$H$8),IF(M65&gt;=$H$8,M71,0)))</f>
        <v>0</v>
      </c>
      <c r="N72" s="158" t="n">
        <f aca="false">IF(N71&gt;=($F$8*$J$8)/$H$8,IF(N65&lt;$H$8,($F$8*$J$8)/$H$8,IF(N65&gt;=$H$8,N71,0)))</f>
        <v>0</v>
      </c>
      <c r="O72" s="801"/>
      <c r="P72" s="801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688"/>
      <c r="AD72" s="688"/>
      <c r="AE72" s="688"/>
      <c r="AF72" s="688"/>
      <c r="AG72" s="688"/>
      <c r="AH72" s="688"/>
      <c r="AI72" s="688"/>
      <c r="AJ72" s="688"/>
      <c r="AK72" s="688"/>
      <c r="AL72" s="688"/>
      <c r="AM72" s="688"/>
      <c r="AN72" s="688"/>
      <c r="AO72" s="688"/>
      <c r="AP72" s="688"/>
    </row>
    <row r="73" customFormat="false" ht="12.75" hidden="false" customHeight="false" outlineLevel="0" collapsed="false">
      <c r="A73" s="806" t="s">
        <v>360</v>
      </c>
      <c r="B73" s="240"/>
      <c r="C73" s="240"/>
      <c r="D73" s="240"/>
      <c r="E73" s="807" t="n">
        <f aca="false">E71-E72</f>
        <v>0</v>
      </c>
      <c r="F73" s="807" t="n">
        <f aca="false">F71-F72</f>
        <v>0</v>
      </c>
      <c r="G73" s="807" t="n">
        <f aca="false">G71-G72</f>
        <v>0</v>
      </c>
      <c r="H73" s="807" t="n">
        <f aca="false">H71-H72</f>
        <v>0</v>
      </c>
      <c r="I73" s="807" t="n">
        <f aca="false">I71-I72</f>
        <v>0</v>
      </c>
      <c r="J73" s="807" t="n">
        <f aca="false">J71-J72</f>
        <v>0</v>
      </c>
      <c r="K73" s="807" t="n">
        <f aca="false">K71-K72</f>
        <v>0</v>
      </c>
      <c r="L73" s="807" t="n">
        <f aca="false">L71-L72</f>
        <v>0</v>
      </c>
      <c r="M73" s="807" t="n">
        <f aca="false">M71-M72</f>
        <v>0</v>
      </c>
      <c r="N73" s="807" t="n">
        <f aca="false">N71-N72</f>
        <v>0</v>
      </c>
      <c r="O73" s="801"/>
      <c r="P73" s="801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688"/>
      <c r="AD73" s="688"/>
      <c r="AE73" s="688"/>
      <c r="AF73" s="688"/>
      <c r="AG73" s="688"/>
      <c r="AH73" s="688"/>
      <c r="AI73" s="688"/>
      <c r="AJ73" s="688"/>
      <c r="AK73" s="688"/>
      <c r="AL73" s="688"/>
      <c r="AM73" s="688"/>
      <c r="AN73" s="688"/>
      <c r="AO73" s="688"/>
      <c r="AP73" s="688"/>
    </row>
    <row r="74" customFormat="false" ht="12.75" hidden="false" customHeight="false" outlineLevel="0" collapsed="false">
      <c r="A74" s="808" t="str">
        <f aca="false">A9</f>
        <v>Junior Debt (US$)</v>
      </c>
      <c r="B74" s="809"/>
      <c r="C74" s="809"/>
      <c r="D74" s="809"/>
      <c r="E74" s="809"/>
      <c r="F74" s="809"/>
      <c r="G74" s="809"/>
      <c r="H74" s="809"/>
      <c r="I74" s="809"/>
      <c r="J74" s="809"/>
      <c r="K74" s="810"/>
      <c r="L74" s="810"/>
      <c r="M74" s="810"/>
      <c r="N74" s="810"/>
      <c r="O74" s="245"/>
      <c r="P74" s="245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688"/>
      <c r="AD74" s="688"/>
      <c r="AE74" s="688"/>
      <c r="AF74" s="688"/>
      <c r="AG74" s="688"/>
      <c r="AH74" s="688"/>
      <c r="AI74" s="688"/>
      <c r="AJ74" s="688"/>
      <c r="AK74" s="688"/>
      <c r="AL74" s="688"/>
      <c r="AM74" s="688"/>
      <c r="AN74" s="688"/>
      <c r="AO74" s="688"/>
      <c r="AP74" s="688"/>
    </row>
    <row r="75" customFormat="false" ht="12.75" hidden="false" customHeight="false" outlineLevel="0" collapsed="false">
      <c r="A75" s="806" t="s">
        <v>358</v>
      </c>
      <c r="B75" s="240"/>
      <c r="C75" s="240"/>
      <c r="D75" s="240"/>
      <c r="E75" s="807" t="n">
        <f aca="false">$F$8</f>
        <v>0</v>
      </c>
      <c r="F75" s="807" t="n">
        <f aca="false">E77</f>
        <v>0</v>
      </c>
      <c r="G75" s="807" t="n">
        <f aca="false">F77</f>
        <v>0</v>
      </c>
      <c r="H75" s="807" t="n">
        <f aca="false">G77</f>
        <v>0</v>
      </c>
      <c r="I75" s="807" t="n">
        <f aca="false">H77</f>
        <v>0</v>
      </c>
      <c r="J75" s="807" t="n">
        <f aca="false">I77</f>
        <v>0</v>
      </c>
      <c r="K75" s="807" t="n">
        <f aca="false">J77</f>
        <v>0</v>
      </c>
      <c r="L75" s="807" t="n">
        <f aca="false">K77</f>
        <v>0</v>
      </c>
      <c r="M75" s="807" t="n">
        <f aca="false">L77</f>
        <v>0</v>
      </c>
      <c r="N75" s="807" t="n">
        <f aca="false">M77</f>
        <v>0</v>
      </c>
      <c r="O75" s="146"/>
      <c r="P75" s="14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688"/>
      <c r="AD75" s="688"/>
      <c r="AE75" s="688"/>
      <c r="AF75" s="688"/>
      <c r="AG75" s="688"/>
      <c r="AH75" s="688"/>
      <c r="AI75" s="688"/>
      <c r="AJ75" s="688"/>
      <c r="AK75" s="688"/>
      <c r="AL75" s="688"/>
      <c r="AM75" s="688"/>
      <c r="AN75" s="688"/>
      <c r="AO75" s="688"/>
      <c r="AP75" s="688"/>
    </row>
    <row r="76" customFormat="false" ht="12.75" hidden="false" customHeight="false" outlineLevel="0" collapsed="false">
      <c r="A76" s="806" t="s">
        <v>359</v>
      </c>
      <c r="B76" s="240"/>
      <c r="C76" s="240"/>
      <c r="D76" s="240"/>
      <c r="E76" s="158" t="n">
        <f aca="false">IF(E75&gt;=($F$9*$J$9)/$H$9,IF(E$65&lt;$H$9,($F$9*$J$9)/$H$9,IF(E$65&gt;=$H$9,E75,0)))</f>
        <v>0</v>
      </c>
      <c r="F76" s="158" t="n">
        <f aca="false">IF(F75&gt;=($F$9*$J$9)/$H$9,IF(F$65&lt;$H$9,($F$9*$J$9)/$H$9,IF(F$65&gt;=$H$9,F75,0)))</f>
        <v>0</v>
      </c>
      <c r="G76" s="158" t="n">
        <f aca="false">IF(G75&gt;=($F$9*$J$9)/$H$9,IF(G$65&lt;$H$9,($F$9*$J$9)/$H$9,IF(G$65&gt;=$H$9,G75,0)))</f>
        <v>0</v>
      </c>
      <c r="H76" s="158" t="n">
        <f aca="false">IF(H75&gt;=($F$9*$J$9)/$H$9,IF(H$65&lt;$H$9,($F$9*$J$9)/$H$9,IF(H$65&gt;=$H$9,H75,0)))</f>
        <v>0</v>
      </c>
      <c r="I76" s="158" t="n">
        <f aca="false">IF(I75&gt;=($F$9*$J$9)/$H$9,IF(I$65&lt;$H$9,($F$9*$J$9)/$H$9,IF(I$65&gt;=$H$9,I75,0)))</f>
        <v>0</v>
      </c>
      <c r="J76" s="158" t="n">
        <f aca="false">IF(J75&gt;=($F$9*$J$9)/$H$9,IF(J$65&lt;$H$9,($F$9*$J$9)/$H$9,IF(J$65&gt;=$H$9,J75,0)))</f>
        <v>0</v>
      </c>
      <c r="K76" s="158" t="n">
        <f aca="false">IF(K75&gt;=($F$9*$J$9)/$H$9,IF(K$65&lt;$H$9,($F$9*$J$9)/$H$9,IF(K$65&gt;=$H$9,K75,0)))</f>
        <v>0</v>
      </c>
      <c r="L76" s="158" t="n">
        <f aca="false">IF(L75&gt;=($F$9*$J$9)/$H$9,IF(L$65&lt;$H$9,($F$9*$J$9)/$H$9,IF(L$65&gt;=$H$9,L75,0)))</f>
        <v>0</v>
      </c>
      <c r="M76" s="158" t="n">
        <f aca="false">IF(M75&gt;=($F$9*$J$9)/$H$9,IF(M$65&lt;$H$9,($F$9*$J$9)/$H$9,IF(M$65&gt;=$H$9,M75,0)))</f>
        <v>0</v>
      </c>
      <c r="N76" s="158" t="n">
        <f aca="false">IF(N75&gt;=($F$9*$J$9)/$H$9,IF(N$65&lt;$H$9,($F$9*$J$9)/$H$9,IF(N$65&gt;=$H$9,N75,0)))</f>
        <v>0</v>
      </c>
      <c r="O76" s="146"/>
      <c r="P76" s="14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688"/>
      <c r="AD76" s="688"/>
      <c r="AE76" s="688"/>
      <c r="AF76" s="688"/>
      <c r="AG76" s="688"/>
      <c r="AH76" s="688"/>
      <c r="AI76" s="688"/>
      <c r="AJ76" s="688"/>
      <c r="AK76" s="688"/>
      <c r="AL76" s="688"/>
      <c r="AM76" s="688"/>
      <c r="AN76" s="688"/>
      <c r="AO76" s="688"/>
      <c r="AP76" s="688"/>
    </row>
    <row r="77" customFormat="false" ht="12.75" hidden="false" customHeight="false" outlineLevel="0" collapsed="false">
      <c r="A77" s="811" t="s">
        <v>360</v>
      </c>
      <c r="B77" s="798"/>
      <c r="C77" s="798"/>
      <c r="D77" s="798"/>
      <c r="E77" s="812" t="n">
        <f aca="false">E75-E76</f>
        <v>0</v>
      </c>
      <c r="F77" s="812" t="n">
        <f aca="false">F75-F76</f>
        <v>0</v>
      </c>
      <c r="G77" s="812" t="n">
        <f aca="false">G75-G76</f>
        <v>0</v>
      </c>
      <c r="H77" s="812" t="n">
        <f aca="false">H75-H76</f>
        <v>0</v>
      </c>
      <c r="I77" s="812" t="n">
        <f aca="false">I75-I76</f>
        <v>0</v>
      </c>
      <c r="J77" s="812" t="n">
        <f aca="false">J75-J76</f>
        <v>0</v>
      </c>
      <c r="K77" s="812" t="n">
        <f aca="false">K75-K76</f>
        <v>0</v>
      </c>
      <c r="L77" s="812" t="n">
        <f aca="false">L75-L76</f>
        <v>0</v>
      </c>
      <c r="M77" s="812" t="n">
        <f aca="false">M75-M76</f>
        <v>0</v>
      </c>
      <c r="N77" s="812" t="n">
        <f aca="false">N75-N76</f>
        <v>0</v>
      </c>
      <c r="O77" s="146"/>
      <c r="P77" s="14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688"/>
      <c r="AD77" s="688"/>
      <c r="AE77" s="688"/>
      <c r="AF77" s="688"/>
      <c r="AG77" s="688"/>
      <c r="AH77" s="688"/>
      <c r="AI77" s="688"/>
      <c r="AJ77" s="688"/>
      <c r="AK77" s="688"/>
      <c r="AL77" s="688"/>
      <c r="AM77" s="688"/>
      <c r="AN77" s="688"/>
      <c r="AO77" s="688"/>
      <c r="AP77" s="688"/>
    </row>
    <row r="78" customFormat="false" ht="12.75" hidden="false" customHeight="false" outlineLevel="0" collapsed="false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688"/>
      <c r="AD78" s="688"/>
      <c r="AE78" s="688"/>
      <c r="AF78" s="688"/>
      <c r="AG78" s="688"/>
      <c r="AH78" s="688"/>
      <c r="AI78" s="688"/>
      <c r="AJ78" s="688"/>
      <c r="AK78" s="688"/>
      <c r="AL78" s="688"/>
      <c r="AM78" s="688"/>
      <c r="AN78" s="688"/>
      <c r="AO78" s="688"/>
      <c r="AP78" s="688"/>
    </row>
    <row r="79" customFormat="false" ht="15.75" hidden="false" customHeight="false" outlineLevel="0" collapsed="false">
      <c r="A79" s="33" t="s">
        <v>361</v>
      </c>
      <c r="B79" s="680"/>
      <c r="C79" s="680"/>
      <c r="D79" s="240"/>
      <c r="E79" s="294" t="s">
        <v>156</v>
      </c>
      <c r="F79" s="295"/>
      <c r="G79" s="293"/>
      <c r="H79" s="293"/>
      <c r="I79" s="296"/>
      <c r="J79" s="293"/>
      <c r="K79" s="296"/>
      <c r="L79" s="296"/>
      <c r="M79" s="296"/>
      <c r="N79" s="296"/>
      <c r="O79" s="680"/>
      <c r="P79" s="680"/>
      <c r="Q79" s="688"/>
      <c r="R79" s="688"/>
      <c r="S79" s="688"/>
      <c r="T79" s="688"/>
      <c r="U79" s="688"/>
      <c r="V79" s="688"/>
      <c r="W79" s="688"/>
      <c r="X79" s="688"/>
      <c r="Y79" s="688"/>
      <c r="Z79" s="688"/>
      <c r="AA79" s="688"/>
      <c r="AB79" s="688"/>
      <c r="AC79" s="688"/>
      <c r="AD79" s="688"/>
      <c r="AE79" s="688"/>
      <c r="AF79" s="688"/>
      <c r="AG79" s="688"/>
      <c r="AH79" s="688"/>
      <c r="AI79" s="688"/>
      <c r="AJ79" s="688"/>
      <c r="AK79" s="688"/>
      <c r="AL79" s="688"/>
      <c r="AM79" s="688"/>
      <c r="AN79" s="688"/>
      <c r="AO79" s="688"/>
      <c r="AP79" s="688"/>
    </row>
    <row r="80" customFormat="false" ht="15.75" hidden="false" customHeight="false" outlineLevel="0" collapsed="false">
      <c r="A80" s="813" t="s">
        <v>362</v>
      </c>
      <c r="B80" s="814"/>
      <c r="C80" s="814"/>
      <c r="D80" s="803"/>
      <c r="E80" s="297" t="n">
        <v>2001</v>
      </c>
      <c r="F80" s="298" t="n">
        <v>2002</v>
      </c>
      <c r="G80" s="298" t="n">
        <v>2003</v>
      </c>
      <c r="H80" s="298" t="n">
        <v>2004</v>
      </c>
      <c r="I80" s="298" t="n">
        <v>2005</v>
      </c>
      <c r="J80" s="298" t="n">
        <v>2006</v>
      </c>
      <c r="K80" s="299" t="n">
        <v>2007</v>
      </c>
      <c r="L80" s="299" t="n">
        <v>2008</v>
      </c>
      <c r="M80" s="299" t="n">
        <v>2009</v>
      </c>
      <c r="N80" s="299" t="n">
        <v>2010</v>
      </c>
      <c r="O80" s="680"/>
      <c r="P80" s="680"/>
      <c r="Q80" s="688"/>
      <c r="R80" s="688"/>
      <c r="S80" s="688"/>
      <c r="T80" s="688"/>
      <c r="U80" s="688"/>
      <c r="V80" s="688"/>
      <c r="W80" s="688"/>
      <c r="X80" s="688"/>
      <c r="Y80" s="688"/>
      <c r="Z80" s="688"/>
      <c r="AA80" s="688"/>
      <c r="AB80" s="688"/>
      <c r="AC80" s="688"/>
      <c r="AD80" s="688"/>
      <c r="AE80" s="688"/>
      <c r="AF80" s="688"/>
      <c r="AG80" s="688"/>
      <c r="AH80" s="688"/>
      <c r="AI80" s="688"/>
      <c r="AJ80" s="688"/>
      <c r="AK80" s="688"/>
      <c r="AL80" s="688"/>
      <c r="AM80" s="688"/>
      <c r="AN80" s="688"/>
      <c r="AO80" s="688"/>
      <c r="AP80" s="688"/>
    </row>
    <row r="81" customFormat="false" ht="12.75" hidden="false" customHeight="false" outlineLevel="0" collapsed="false">
      <c r="A81" s="680"/>
      <c r="B81" s="680"/>
      <c r="C81" s="680"/>
      <c r="D81" s="794" t="s">
        <v>357</v>
      </c>
      <c r="E81" s="413" t="n">
        <v>1</v>
      </c>
      <c r="F81" s="795" t="n">
        <v>2</v>
      </c>
      <c r="G81" s="795" t="n">
        <v>3</v>
      </c>
      <c r="H81" s="795" t="n">
        <v>4</v>
      </c>
      <c r="I81" s="795" t="n">
        <v>5</v>
      </c>
      <c r="J81" s="795" t="n">
        <v>6</v>
      </c>
      <c r="K81" s="597" t="n">
        <v>7</v>
      </c>
      <c r="L81" s="597" t="n">
        <v>8</v>
      </c>
      <c r="M81" s="597" t="n">
        <v>9</v>
      </c>
      <c r="N81" s="597" t="n">
        <v>10</v>
      </c>
      <c r="O81" s="680"/>
      <c r="P81" s="680"/>
      <c r="Q81" s="688"/>
      <c r="R81" s="688"/>
      <c r="S81" s="688"/>
      <c r="T81" s="688"/>
      <c r="U81" s="688"/>
      <c r="V81" s="688"/>
      <c r="W81" s="688"/>
      <c r="X81" s="688"/>
      <c r="Y81" s="688"/>
      <c r="Z81" s="688"/>
      <c r="AA81" s="688"/>
      <c r="AB81" s="688"/>
      <c r="AC81" s="688"/>
      <c r="AD81" s="688"/>
      <c r="AE81" s="688"/>
      <c r="AF81" s="688"/>
      <c r="AG81" s="688"/>
      <c r="AH81" s="688"/>
      <c r="AI81" s="688"/>
      <c r="AJ81" s="688"/>
      <c r="AK81" s="688"/>
      <c r="AL81" s="688"/>
      <c r="AM81" s="688"/>
      <c r="AN81" s="688"/>
      <c r="AO81" s="688"/>
      <c r="AP81" s="688"/>
    </row>
    <row r="82" customFormat="false" ht="12.75" hidden="false" customHeight="false" outlineLevel="0" collapsed="false">
      <c r="A82" s="808" t="str">
        <f aca="false">A7</f>
        <v>Senior Tranche A (US$)</v>
      </c>
      <c r="B82" s="814"/>
      <c r="C82" s="814"/>
      <c r="D82" s="814"/>
      <c r="E82" s="814"/>
      <c r="F82" s="814"/>
      <c r="G82" s="814"/>
      <c r="H82" s="814"/>
      <c r="I82" s="814"/>
      <c r="J82" s="814"/>
      <c r="K82" s="814"/>
      <c r="L82" s="814"/>
      <c r="M82" s="814"/>
      <c r="N82" s="814"/>
      <c r="O82" s="680"/>
      <c r="P82" s="680"/>
      <c r="Q82" s="688"/>
      <c r="R82" s="688"/>
      <c r="S82" s="688"/>
      <c r="T82" s="688"/>
      <c r="U82" s="688"/>
      <c r="V82" s="688"/>
      <c r="W82" s="688"/>
      <c r="X82" s="688"/>
      <c r="Y82" s="688"/>
      <c r="Z82" s="688"/>
      <c r="AA82" s="688"/>
      <c r="AB82" s="688"/>
      <c r="AC82" s="688"/>
      <c r="AD82" s="688"/>
      <c r="AE82" s="688"/>
      <c r="AF82" s="688"/>
      <c r="AG82" s="688"/>
      <c r="AH82" s="688"/>
      <c r="AI82" s="688"/>
      <c r="AJ82" s="688"/>
      <c r="AK82" s="688"/>
      <c r="AL82" s="688"/>
      <c r="AM82" s="688"/>
      <c r="AN82" s="688"/>
      <c r="AO82" s="688"/>
      <c r="AP82" s="688"/>
    </row>
    <row r="83" customFormat="false" ht="12.75" hidden="false" customHeight="false" outlineLevel="0" collapsed="false">
      <c r="A83" s="806" t="s">
        <v>358</v>
      </c>
      <c r="B83" s="680"/>
      <c r="C83" s="680"/>
      <c r="D83" s="680"/>
      <c r="E83" s="807" t="n">
        <f aca="false">F7*J7</f>
        <v>3617664.3129064</v>
      </c>
      <c r="F83" s="807" t="n">
        <f aca="false">E86</f>
        <v>3361946.35583222</v>
      </c>
      <c r="G83" s="807" t="n">
        <f aca="false">F86</f>
        <v>3087049.55197749</v>
      </c>
      <c r="H83" s="807" t="n">
        <f aca="false">G86</f>
        <v>3318578.2683758</v>
      </c>
      <c r="I83" s="807" t="n">
        <f aca="false">H86</f>
        <v>3567471.63850398</v>
      </c>
      <c r="J83" s="807" t="n">
        <f aca="false">I86</f>
        <v>3835032.01139178</v>
      </c>
      <c r="K83" s="807" t="n">
        <f aca="false">J86</f>
        <v>4122659.41224616</v>
      </c>
      <c r="L83" s="807" t="n">
        <f aca="false">K86</f>
        <v>4431858.86816463</v>
      </c>
      <c r="M83" s="807" t="n">
        <f aca="false">L86</f>
        <v>4764248.28327697</v>
      </c>
      <c r="N83" s="807" t="n">
        <f aca="false">M86</f>
        <v>5121566.90452275</v>
      </c>
      <c r="O83" s="680"/>
      <c r="P83" s="680"/>
      <c r="Q83" s="688"/>
      <c r="R83" s="688"/>
      <c r="S83" s="688"/>
      <c r="T83" s="688"/>
      <c r="U83" s="688"/>
      <c r="V83" s="688"/>
      <c r="W83" s="688"/>
      <c r="X83" s="688"/>
      <c r="Y83" s="688"/>
      <c r="Z83" s="688"/>
      <c r="AA83" s="688"/>
      <c r="AB83" s="688"/>
      <c r="AC83" s="688"/>
      <c r="AD83" s="688"/>
      <c r="AE83" s="688"/>
      <c r="AF83" s="688"/>
      <c r="AG83" s="688"/>
      <c r="AH83" s="688"/>
      <c r="AI83" s="688"/>
      <c r="AJ83" s="688"/>
      <c r="AK83" s="688"/>
      <c r="AL83" s="688"/>
      <c r="AM83" s="688"/>
      <c r="AN83" s="688"/>
      <c r="AO83" s="688"/>
      <c r="AP83" s="688"/>
    </row>
    <row r="84" customFormat="false" ht="12.75" hidden="false" customHeight="false" outlineLevel="0" collapsed="false">
      <c r="A84" s="806" t="s">
        <v>363</v>
      </c>
      <c r="B84" s="680"/>
      <c r="C84" s="680"/>
      <c r="D84" s="680"/>
      <c r="E84" s="158" t="n">
        <f aca="false">-PMT($G$7,$H$7,$F$7*J7)</f>
        <v>527042.780542154</v>
      </c>
      <c r="F84" s="158" t="n">
        <f aca="false">IF(E86&lt;=0.25,0,IF(AND($H$7=F81,-PMT($G$7,$H$7,$F$7*J7)&lt;F83),-PMT($G$7,$H$7,$F$7*J7)+F83,-PMT($G$7,$H$7,$F$7*J7)))</f>
        <v>527042.780542154</v>
      </c>
      <c r="G84" s="158" t="n">
        <f aca="false">IF(F86&lt;=0.25,0,IF(AND($H$7=G81,-PMT($G$7,$H$7,$F$7*K7)&lt;G83),-PMT($G$7,$H$7,$F$7*K7)+G83,-PMT($G$7,$H$7,$F$7*K7)))</f>
        <v>0</v>
      </c>
      <c r="H84" s="158" t="n">
        <f aca="false">IF(G86&lt;=0.25,0,IF(AND($H$7=H81,-PMT($G$7,$H$7,$F$7*L7)&lt;H83),-PMT($G$7,$H$7,$F$7*L7)+H83,-PMT($G$7,$H$7,$F$7*L7)))</f>
        <v>0</v>
      </c>
      <c r="I84" s="158" t="n">
        <f aca="false">IF(H86&lt;=0.25,0,IF(AND($H$7=I81,-PMT($G$7,$H$7,$F$7*M7)&lt;I83),-PMT($G$7,$H$7,$F$7*M7)+I83,-PMT($G$7,$H$7,$F$7*M7)))</f>
        <v>0</v>
      </c>
      <c r="J84" s="158" t="n">
        <f aca="false">IF(I86&lt;=0.25,0,IF(AND($H$7=J81,-PMT($G$7,$H$7,$F$7*N7)&lt;J83),-PMT($G$7,$H$7,$F$7*N7)+J83,-PMT($G$7,$H$7,$F$7*N7)))</f>
        <v>0</v>
      </c>
      <c r="K84" s="158" t="n">
        <f aca="false">IF(J86&lt;=0.25,0,IF(AND($H$7=K81,-PMT($G$7,$H$7,$F$7*O7)&lt;K83),-PMT($G$7,$H$7,$F$7*O7)+K83,-PMT($G$7,$H$7,$F$7*O7)))</f>
        <v>0</v>
      </c>
      <c r="L84" s="158" t="n">
        <f aca="false">IF(K86&lt;=0.25,0,IF(AND($H$7=L81,-PMT($G$7,$H$7,$F$7*P7)&lt;L83),-PMT($G$7,$H$7,$F$7*P7)+L83,-PMT($G$7,$H$7,$F$7*P7)))</f>
        <v>0</v>
      </c>
      <c r="M84" s="158" t="n">
        <f aca="false">IF(L86&lt;=0.25,0,IF(AND($H$7=M81,-PMT($G$7,$H$7,$F$7*Q7)&lt;M83),-PMT($G$7,$H$7,$F$7*Q7)+M83,-PMT($G$7,$H$7,$F$7*Q7)))</f>
        <v>0</v>
      </c>
      <c r="N84" s="158" t="n">
        <f aca="false">IF(M86&lt;=0.25,0,IF(AND($H$7=N81,-PMT($G$7,$H$7,$F$7*R7)&lt;N83),-PMT($G$7,$H$7,$F$7*R7)+N83,-PMT($G$7,$H$7,$F$7*R7)))</f>
        <v>5121566.90452275</v>
      </c>
      <c r="O84" s="680"/>
      <c r="P84" s="680"/>
      <c r="Q84" s="688"/>
      <c r="R84" s="688"/>
      <c r="S84" s="688"/>
      <c r="T84" s="688"/>
      <c r="U84" s="688"/>
      <c r="V84" s="688"/>
      <c r="W84" s="688"/>
      <c r="X84" s="688"/>
      <c r="Y84" s="688"/>
      <c r="Z84" s="688"/>
      <c r="AA84" s="688"/>
      <c r="AB84" s="688"/>
      <c r="AC84" s="688"/>
      <c r="AD84" s="688"/>
      <c r="AE84" s="688"/>
      <c r="AF84" s="688"/>
      <c r="AG84" s="688"/>
      <c r="AH84" s="688"/>
      <c r="AI84" s="688"/>
      <c r="AJ84" s="688"/>
      <c r="AK84" s="688"/>
      <c r="AL84" s="688"/>
      <c r="AM84" s="688"/>
      <c r="AN84" s="688"/>
      <c r="AO84" s="688"/>
      <c r="AP84" s="688"/>
    </row>
    <row r="85" customFormat="false" ht="12.75" hidden="false" customHeight="false" outlineLevel="0" collapsed="false">
      <c r="A85" s="806" t="s">
        <v>364</v>
      </c>
      <c r="B85" s="680"/>
      <c r="C85" s="680"/>
      <c r="D85" s="680"/>
      <c r="E85" s="807" t="n">
        <f aca="false">E83*$G$7</f>
        <v>271324.82346798</v>
      </c>
      <c r="F85" s="807" t="n">
        <f aca="false">F83*$G$7</f>
        <v>252145.976687417</v>
      </c>
      <c r="G85" s="807" t="n">
        <f aca="false">G83*$G$7</f>
        <v>231528.716398311</v>
      </c>
      <c r="H85" s="807" t="n">
        <f aca="false">H83*$G$7</f>
        <v>248893.370128185</v>
      </c>
      <c r="I85" s="807" t="n">
        <f aca="false">I83*$G$7</f>
        <v>267560.372887799</v>
      </c>
      <c r="J85" s="807" t="n">
        <f aca="false">J83*$G$7</f>
        <v>287627.400854384</v>
      </c>
      <c r="K85" s="807" t="n">
        <f aca="false">K83*$G$7</f>
        <v>309199.455918462</v>
      </c>
      <c r="L85" s="807" t="n">
        <f aca="false">L83*$G$7</f>
        <v>332389.415112347</v>
      </c>
      <c r="M85" s="807" t="n">
        <f aca="false">M83*$G$7</f>
        <v>357318.621245773</v>
      </c>
      <c r="N85" s="807" t="n">
        <f aca="false">N83*$G$7</f>
        <v>384117.517839206</v>
      </c>
      <c r="O85" s="680"/>
      <c r="P85" s="680"/>
      <c r="Q85" s="688"/>
      <c r="R85" s="688"/>
      <c r="S85" s="688"/>
      <c r="T85" s="688"/>
      <c r="U85" s="688"/>
      <c r="V85" s="688"/>
      <c r="W85" s="688"/>
      <c r="X85" s="688"/>
      <c r="Y85" s="688"/>
      <c r="Z85" s="688"/>
      <c r="AA85" s="688"/>
      <c r="AB85" s="688"/>
      <c r="AC85" s="688"/>
      <c r="AD85" s="688"/>
      <c r="AE85" s="688"/>
      <c r="AF85" s="688"/>
      <c r="AG85" s="688"/>
      <c r="AH85" s="688"/>
      <c r="AI85" s="688"/>
      <c r="AJ85" s="688"/>
      <c r="AK85" s="688"/>
      <c r="AL85" s="688"/>
      <c r="AM85" s="688"/>
      <c r="AN85" s="688"/>
      <c r="AO85" s="688"/>
      <c r="AP85" s="688"/>
    </row>
    <row r="86" customFormat="false" ht="12.75" hidden="false" customHeight="false" outlineLevel="0" collapsed="false">
      <c r="A86" s="806" t="s">
        <v>365</v>
      </c>
      <c r="B86" s="680"/>
      <c r="C86" s="680"/>
      <c r="D86" s="680"/>
      <c r="E86" s="815" t="n">
        <f aca="false">E83-E84+E85</f>
        <v>3361946.35583222</v>
      </c>
      <c r="F86" s="815" t="n">
        <f aca="false">F83-F84+F85</f>
        <v>3087049.55197749</v>
      </c>
      <c r="G86" s="815" t="n">
        <f aca="false">G83-G84+G85</f>
        <v>3318578.2683758</v>
      </c>
      <c r="H86" s="815" t="n">
        <f aca="false">H83-H84+H85</f>
        <v>3567471.63850398</v>
      </c>
      <c r="I86" s="815" t="n">
        <f aca="false">I83-I84+I85</f>
        <v>3835032.01139178</v>
      </c>
      <c r="J86" s="815" t="n">
        <f aca="false">J83-J84+J85</f>
        <v>4122659.41224616</v>
      </c>
      <c r="K86" s="815" t="n">
        <f aca="false">K83-K84+K85</f>
        <v>4431858.86816463</v>
      </c>
      <c r="L86" s="815" t="n">
        <f aca="false">L83-L84+L85</f>
        <v>4764248.28327697</v>
      </c>
      <c r="M86" s="815" t="n">
        <f aca="false">M83-M84+M85</f>
        <v>5121566.90452275</v>
      </c>
      <c r="N86" s="815" t="n">
        <f aca="false">N83-N84+N85</f>
        <v>384117.517839206</v>
      </c>
      <c r="O86" s="680"/>
      <c r="P86" s="680"/>
      <c r="Q86" s="688"/>
      <c r="R86" s="688"/>
      <c r="S86" s="688"/>
      <c r="T86" s="688"/>
      <c r="U86" s="688"/>
      <c r="V86" s="688"/>
      <c r="W86" s="688"/>
      <c r="X86" s="688"/>
      <c r="Y86" s="688"/>
      <c r="Z86" s="688"/>
      <c r="AA86" s="688"/>
      <c r="AB86" s="688"/>
      <c r="AC86" s="688"/>
      <c r="AD86" s="688"/>
      <c r="AE86" s="688"/>
      <c r="AF86" s="688"/>
      <c r="AG86" s="688"/>
      <c r="AH86" s="688"/>
      <c r="AI86" s="688"/>
      <c r="AJ86" s="688"/>
      <c r="AK86" s="688"/>
      <c r="AL86" s="688"/>
      <c r="AM86" s="688"/>
      <c r="AN86" s="688"/>
      <c r="AO86" s="688"/>
      <c r="AP86" s="688"/>
    </row>
    <row r="87" customFormat="false" ht="12.75" hidden="false" customHeight="false" outlineLevel="0" collapsed="false">
      <c r="A87" s="808" t="str">
        <f aca="false">A8</f>
        <v>Senior Tranche B (US$)</v>
      </c>
      <c r="B87" s="814"/>
      <c r="C87" s="814"/>
      <c r="D87" s="814"/>
      <c r="E87" s="814"/>
      <c r="F87" s="814"/>
      <c r="G87" s="814"/>
      <c r="H87" s="814"/>
      <c r="I87" s="814"/>
      <c r="J87" s="814"/>
      <c r="K87" s="814"/>
      <c r="L87" s="814"/>
      <c r="M87" s="814"/>
      <c r="N87" s="814"/>
      <c r="O87" s="680"/>
      <c r="P87" s="680"/>
      <c r="Q87" s="688"/>
      <c r="R87" s="688"/>
      <c r="S87" s="688"/>
      <c r="T87" s="688"/>
      <c r="U87" s="688"/>
      <c r="V87" s="688"/>
      <c r="W87" s="688"/>
      <c r="X87" s="688"/>
      <c r="Y87" s="688"/>
      <c r="Z87" s="688"/>
      <c r="AA87" s="688"/>
      <c r="AB87" s="688"/>
      <c r="AC87" s="688"/>
      <c r="AD87" s="688"/>
      <c r="AE87" s="688"/>
      <c r="AF87" s="688"/>
      <c r="AG87" s="688"/>
      <c r="AH87" s="688"/>
      <c r="AI87" s="688"/>
      <c r="AJ87" s="688"/>
      <c r="AK87" s="688"/>
      <c r="AL87" s="688"/>
      <c r="AM87" s="688"/>
      <c r="AN87" s="688"/>
      <c r="AO87" s="688"/>
      <c r="AP87" s="688"/>
    </row>
    <row r="88" customFormat="false" ht="12.75" hidden="false" customHeight="false" outlineLevel="0" collapsed="false">
      <c r="A88" s="806" t="s">
        <v>358</v>
      </c>
      <c r="B88" s="680"/>
      <c r="C88" s="680"/>
      <c r="D88" s="680"/>
      <c r="E88" s="807" t="n">
        <f aca="false">F8*J7</f>
        <v>0</v>
      </c>
      <c r="F88" s="807" t="n">
        <f aca="false">E91</f>
        <v>0</v>
      </c>
      <c r="G88" s="807" t="n">
        <f aca="false">F91</f>
        <v>0</v>
      </c>
      <c r="H88" s="807" t="n">
        <f aca="false">G91</f>
        <v>0</v>
      </c>
      <c r="I88" s="807" t="n">
        <f aca="false">H91</f>
        <v>0</v>
      </c>
      <c r="J88" s="807" t="n">
        <f aca="false">I91</f>
        <v>0</v>
      </c>
      <c r="K88" s="807" t="n">
        <f aca="false">J91</f>
        <v>0</v>
      </c>
      <c r="L88" s="158" t="n">
        <f aca="false">K91</f>
        <v>0</v>
      </c>
      <c r="M88" s="158" t="n">
        <f aca="false">L91</f>
        <v>0</v>
      </c>
      <c r="N88" s="158" t="n">
        <f aca="false">M91</f>
        <v>0</v>
      </c>
      <c r="O88" s="680"/>
      <c r="P88" s="680"/>
      <c r="Q88" s="688"/>
      <c r="R88" s="688"/>
      <c r="S88" s="688"/>
      <c r="T88" s="688"/>
      <c r="U88" s="688"/>
      <c r="V88" s="688"/>
      <c r="W88" s="688"/>
      <c r="X88" s="688"/>
      <c r="Y88" s="688"/>
      <c r="Z88" s="688"/>
      <c r="AA88" s="688"/>
      <c r="AB88" s="688"/>
      <c r="AC88" s="688"/>
      <c r="AD88" s="688"/>
      <c r="AE88" s="688"/>
      <c r="AF88" s="688"/>
      <c r="AG88" s="688"/>
      <c r="AH88" s="688"/>
      <c r="AI88" s="688"/>
      <c r="AJ88" s="688"/>
      <c r="AK88" s="688"/>
      <c r="AL88" s="688"/>
      <c r="AM88" s="688"/>
      <c r="AN88" s="688"/>
      <c r="AO88" s="688"/>
      <c r="AP88" s="688"/>
    </row>
    <row r="89" customFormat="false" ht="12.75" hidden="false" customHeight="false" outlineLevel="0" collapsed="false">
      <c r="A89" s="806" t="s">
        <v>363</v>
      </c>
      <c r="B89" s="680"/>
      <c r="C89" s="680"/>
      <c r="D89" s="680"/>
      <c r="E89" s="158" t="n">
        <f aca="false">-PMT($G$8,$H$8,$F$8)</f>
        <v>0</v>
      </c>
      <c r="F89" s="158" t="n">
        <f aca="false">IF(E91&lt;=0.25,0,-PMT($G$8,$H$8,$F$8))</f>
        <v>0</v>
      </c>
      <c r="G89" s="158" t="n">
        <f aca="false">IF(F91&lt;=0.25,0,-PMT($G$8,$H$8,$F$8))</f>
        <v>0</v>
      </c>
      <c r="H89" s="158" t="n">
        <f aca="false">IF(G91&lt;=0.25,0,-PMT($G$8,$H$8,$F$8))</f>
        <v>0</v>
      </c>
      <c r="I89" s="158" t="n">
        <f aca="false">IF(H91&lt;=0.25,0,-PMT($G$8,$H$8,$F$8))</f>
        <v>0</v>
      </c>
      <c r="J89" s="158" t="n">
        <f aca="false">IF(I91&lt;=0.25,0,-PMT($G$8,$H$8,$F$8))</f>
        <v>0</v>
      </c>
      <c r="K89" s="158" t="n">
        <f aca="false">IF(J91&lt;=0.25,0,-PMT($G$8,$H$8,$F$8))</f>
        <v>0</v>
      </c>
      <c r="L89" s="158" t="n">
        <f aca="false">IF(K91&lt;=0.25,0,-PMT($G$8,$H$8,$F$8))</f>
        <v>0</v>
      </c>
      <c r="M89" s="158" t="n">
        <f aca="false">IF(L91&lt;=0.25,0,-PMT($G$8,$H$8,$F$8))</f>
        <v>0</v>
      </c>
      <c r="N89" s="158" t="n">
        <f aca="false">IF(M91&lt;=0.25,0,-PMT($G$8,$H$8,$F$8))</f>
        <v>0</v>
      </c>
      <c r="O89" s="680"/>
      <c r="P89" s="680"/>
      <c r="Q89" s="688"/>
      <c r="R89" s="688"/>
      <c r="S89" s="688"/>
      <c r="T89" s="688"/>
      <c r="U89" s="688"/>
      <c r="V89" s="688"/>
      <c r="W89" s="688"/>
      <c r="X89" s="688"/>
      <c r="Y89" s="688"/>
      <c r="Z89" s="688"/>
      <c r="AA89" s="688"/>
      <c r="AB89" s="688"/>
      <c r="AC89" s="688"/>
      <c r="AD89" s="688"/>
      <c r="AE89" s="688"/>
      <c r="AF89" s="688"/>
      <c r="AG89" s="688"/>
      <c r="AH89" s="688"/>
      <c r="AI89" s="688"/>
      <c r="AJ89" s="688"/>
      <c r="AK89" s="688"/>
      <c r="AL89" s="688"/>
      <c r="AM89" s="688"/>
      <c r="AN89" s="688"/>
      <c r="AO89" s="688"/>
      <c r="AP89" s="688"/>
    </row>
    <row r="90" customFormat="false" ht="12.75" hidden="false" customHeight="false" outlineLevel="0" collapsed="false">
      <c r="A90" s="806" t="s">
        <v>364</v>
      </c>
      <c r="B90" s="680"/>
      <c r="C90" s="680"/>
      <c r="D90" s="680"/>
      <c r="E90" s="807" t="n">
        <f aca="false">E88*$G$8</f>
        <v>0</v>
      </c>
      <c r="F90" s="807" t="n">
        <f aca="false">F88*$G$8</f>
        <v>0</v>
      </c>
      <c r="G90" s="807" t="n">
        <f aca="false">G88*$G$8</f>
        <v>0</v>
      </c>
      <c r="H90" s="807" t="n">
        <f aca="false">H88*$G$8</f>
        <v>0</v>
      </c>
      <c r="I90" s="807" t="n">
        <f aca="false">I88*$G$8</f>
        <v>0</v>
      </c>
      <c r="J90" s="807" t="n">
        <f aca="false">J88*$G$8</f>
        <v>0</v>
      </c>
      <c r="K90" s="807" t="n">
        <f aca="false">K88*$G$8</f>
        <v>0</v>
      </c>
      <c r="L90" s="158" t="n">
        <f aca="false">L88*$G$8</f>
        <v>0</v>
      </c>
      <c r="M90" s="158" t="n">
        <f aca="false">M88*$G$8</f>
        <v>0</v>
      </c>
      <c r="N90" s="158" t="n">
        <f aca="false">N88*$G$8</f>
        <v>0</v>
      </c>
      <c r="O90" s="680"/>
      <c r="P90" s="680"/>
      <c r="Q90" s="688"/>
      <c r="R90" s="688"/>
      <c r="S90" s="688"/>
      <c r="T90" s="688"/>
      <c r="U90" s="688"/>
      <c r="V90" s="688"/>
      <c r="W90" s="688"/>
      <c r="X90" s="688"/>
      <c r="Y90" s="688"/>
      <c r="Z90" s="688"/>
      <c r="AA90" s="688"/>
      <c r="AB90" s="688"/>
      <c r="AC90" s="688"/>
      <c r="AD90" s="688"/>
      <c r="AE90" s="688"/>
      <c r="AF90" s="688"/>
      <c r="AG90" s="688"/>
      <c r="AH90" s="688"/>
      <c r="AI90" s="688"/>
      <c r="AJ90" s="688"/>
      <c r="AK90" s="688"/>
      <c r="AL90" s="688"/>
      <c r="AM90" s="688"/>
      <c r="AN90" s="688"/>
      <c r="AO90" s="688"/>
      <c r="AP90" s="688"/>
    </row>
    <row r="91" customFormat="false" ht="12.75" hidden="false" customHeight="false" outlineLevel="0" collapsed="false">
      <c r="A91" s="806" t="s">
        <v>365</v>
      </c>
      <c r="B91" s="680"/>
      <c r="C91" s="680"/>
      <c r="D91" s="680"/>
      <c r="E91" s="815" t="n">
        <f aca="false">E88-E89+E90</f>
        <v>0</v>
      </c>
      <c r="F91" s="815" t="n">
        <f aca="false">F88-F89+F90</f>
        <v>0</v>
      </c>
      <c r="G91" s="815" t="n">
        <f aca="false">G88-G89+G90</f>
        <v>0</v>
      </c>
      <c r="H91" s="815" t="n">
        <f aca="false">H88-H89+H90</f>
        <v>0</v>
      </c>
      <c r="I91" s="815" t="n">
        <f aca="false">I88-I89+I90</f>
        <v>0</v>
      </c>
      <c r="J91" s="815" t="n">
        <f aca="false">J88-J89+J90</f>
        <v>0</v>
      </c>
      <c r="K91" s="815" t="n">
        <f aca="false">K88-K89+K90</f>
        <v>0</v>
      </c>
      <c r="L91" s="158" t="n">
        <f aca="false">L88-L89+L90</f>
        <v>0</v>
      </c>
      <c r="M91" s="158" t="n">
        <f aca="false">M88-M89+M90</f>
        <v>0</v>
      </c>
      <c r="N91" s="158" t="n">
        <f aca="false">N88-N89+N90</f>
        <v>0</v>
      </c>
      <c r="O91" s="680"/>
      <c r="P91" s="680"/>
      <c r="Q91" s="688"/>
      <c r="R91" s="688"/>
      <c r="S91" s="688"/>
      <c r="T91" s="688"/>
      <c r="U91" s="688"/>
      <c r="V91" s="688"/>
      <c r="W91" s="688"/>
      <c r="X91" s="688"/>
      <c r="Y91" s="688"/>
      <c r="Z91" s="688"/>
      <c r="AA91" s="688"/>
      <c r="AB91" s="688"/>
      <c r="AC91" s="688"/>
      <c r="AD91" s="688"/>
      <c r="AE91" s="688"/>
      <c r="AF91" s="688"/>
      <c r="AG91" s="688"/>
      <c r="AH91" s="688"/>
      <c r="AI91" s="688"/>
      <c r="AJ91" s="688"/>
      <c r="AK91" s="688"/>
      <c r="AL91" s="688"/>
      <c r="AM91" s="688"/>
      <c r="AN91" s="688"/>
      <c r="AO91" s="688"/>
      <c r="AP91" s="688"/>
    </row>
    <row r="92" customFormat="false" ht="12.75" hidden="false" customHeight="false" outlineLevel="0" collapsed="false">
      <c r="A92" s="808" t="s">
        <v>366</v>
      </c>
      <c r="B92" s="814"/>
      <c r="C92" s="814"/>
      <c r="D92" s="814"/>
      <c r="E92" s="814"/>
      <c r="F92" s="814"/>
      <c r="G92" s="814"/>
      <c r="H92" s="814"/>
      <c r="I92" s="814"/>
      <c r="J92" s="814"/>
      <c r="K92" s="814"/>
      <c r="L92" s="814"/>
      <c r="M92" s="814"/>
      <c r="N92" s="814"/>
      <c r="O92" s="688"/>
      <c r="P92" s="688"/>
      <c r="Q92" s="688"/>
      <c r="R92" s="688"/>
      <c r="S92" s="688"/>
      <c r="T92" s="688"/>
      <c r="U92" s="688"/>
      <c r="V92" s="688"/>
      <c r="W92" s="688"/>
      <c r="X92" s="688"/>
      <c r="Y92" s="688"/>
      <c r="Z92" s="688"/>
      <c r="AA92" s="688"/>
      <c r="AB92" s="688"/>
      <c r="AC92" s="688"/>
      <c r="AD92" s="688"/>
      <c r="AE92" s="688"/>
      <c r="AF92" s="688"/>
      <c r="AG92" s="688"/>
      <c r="AH92" s="688"/>
      <c r="AI92" s="688"/>
      <c r="AJ92" s="688"/>
      <c r="AK92" s="688"/>
      <c r="AL92" s="688"/>
      <c r="AM92" s="688"/>
      <c r="AN92" s="688"/>
      <c r="AO92" s="688"/>
      <c r="AP92" s="688"/>
    </row>
    <row r="93" customFormat="false" ht="12.75" hidden="false" customHeight="false" outlineLevel="0" collapsed="false">
      <c r="A93" s="806" t="s">
        <v>358</v>
      </c>
      <c r="B93" s="680"/>
      <c r="C93" s="680"/>
      <c r="D93" s="680"/>
      <c r="E93" s="807" t="n">
        <f aca="false">F9</f>
        <v>0</v>
      </c>
      <c r="F93" s="807" t="n">
        <f aca="false">E96</f>
        <v>0</v>
      </c>
      <c r="G93" s="807" t="n">
        <f aca="false">F96</f>
        <v>0</v>
      </c>
      <c r="H93" s="807" t="n">
        <f aca="false">G96</f>
        <v>0</v>
      </c>
      <c r="I93" s="807" t="n">
        <f aca="false">H96</f>
        <v>0</v>
      </c>
      <c r="J93" s="807" t="n">
        <f aca="false">I96</f>
        <v>0</v>
      </c>
      <c r="K93" s="807" t="n">
        <f aca="false">J96</f>
        <v>0</v>
      </c>
      <c r="L93" s="807" t="n">
        <f aca="false">K96</f>
        <v>0</v>
      </c>
      <c r="M93" s="807" t="n">
        <f aca="false">L96</f>
        <v>0</v>
      </c>
      <c r="N93" s="807" t="n">
        <f aca="false">M96</f>
        <v>0</v>
      </c>
      <c r="O93" s="680"/>
      <c r="P93" s="680"/>
      <c r="Q93" s="688"/>
      <c r="R93" s="688"/>
      <c r="S93" s="688"/>
      <c r="T93" s="688"/>
      <c r="U93" s="688"/>
      <c r="V93" s="688"/>
      <c r="W93" s="688"/>
      <c r="X93" s="688"/>
      <c r="Y93" s="688"/>
      <c r="Z93" s="688"/>
      <c r="AA93" s="688"/>
      <c r="AB93" s="688"/>
      <c r="AC93" s="688"/>
      <c r="AD93" s="688"/>
      <c r="AE93" s="688"/>
      <c r="AF93" s="688"/>
      <c r="AG93" s="688"/>
      <c r="AH93" s="688"/>
      <c r="AI93" s="688"/>
      <c r="AJ93" s="688"/>
      <c r="AK93" s="688"/>
      <c r="AL93" s="688"/>
      <c r="AM93" s="688"/>
      <c r="AN93" s="688"/>
      <c r="AO93" s="688"/>
      <c r="AP93" s="688"/>
    </row>
    <row r="94" customFormat="false" ht="12.75" hidden="false" customHeight="false" outlineLevel="0" collapsed="false">
      <c r="A94" s="806" t="s">
        <v>363</v>
      </c>
      <c r="B94" s="680"/>
      <c r="C94" s="680"/>
      <c r="D94" s="680"/>
      <c r="E94" s="158" t="n">
        <f aca="false">-PMT($G$9,$H$9,$F$9)</f>
        <v>0</v>
      </c>
      <c r="F94" s="158" t="n">
        <f aca="false">IF(E96&lt;=0.25,0,-PMT($G$9,$H$9,$F$9))</f>
        <v>0</v>
      </c>
      <c r="G94" s="158" t="n">
        <f aca="false">IF(F96&lt;=0.25,0,-PMT($G$9,$H$9,$F$9))</f>
        <v>0</v>
      </c>
      <c r="H94" s="158" t="n">
        <f aca="false">IF(G96&lt;=0.25,0,-PMT($G$9,$H$9,$F$9))</f>
        <v>0</v>
      </c>
      <c r="I94" s="158" t="n">
        <f aca="false">IF(H96&lt;=0.25,0,-PMT($G$9,$H$9,$F$9))</f>
        <v>0</v>
      </c>
      <c r="J94" s="158" t="n">
        <f aca="false">IF(I96&lt;=0.25,0,-PMT($G$9,$H$9,$F$9))</f>
        <v>0</v>
      </c>
      <c r="K94" s="158" t="n">
        <f aca="false">IF(J96&lt;=0.25,0,-PMT($G$9,$H$9,$F$9))</f>
        <v>0</v>
      </c>
      <c r="L94" s="158" t="n">
        <f aca="false">IF(K96&lt;=0.25,0,-PMT($G$9,$H$9,$F$9))</f>
        <v>0</v>
      </c>
      <c r="M94" s="158" t="n">
        <f aca="false">IF(L96&lt;=0.25,0,-PMT($G$9,$H$9,$F$9))</f>
        <v>0</v>
      </c>
      <c r="N94" s="158" t="n">
        <f aca="false">IF(M96&lt;=0.25,0,-PMT($G$9,$H$9,$F$9))</f>
        <v>0</v>
      </c>
      <c r="O94" s="680"/>
      <c r="P94" s="680"/>
      <c r="Q94" s="688"/>
      <c r="R94" s="688"/>
      <c r="S94" s="688"/>
      <c r="T94" s="688"/>
      <c r="U94" s="688"/>
      <c r="V94" s="688"/>
      <c r="W94" s="688"/>
      <c r="X94" s="688"/>
      <c r="Y94" s="688"/>
      <c r="Z94" s="688"/>
      <c r="AA94" s="688"/>
      <c r="AB94" s="688"/>
      <c r="AC94" s="688"/>
      <c r="AD94" s="688"/>
      <c r="AE94" s="688"/>
      <c r="AF94" s="688"/>
      <c r="AG94" s="688"/>
      <c r="AH94" s="688"/>
      <c r="AI94" s="688"/>
      <c r="AJ94" s="688"/>
      <c r="AK94" s="688"/>
      <c r="AL94" s="688"/>
      <c r="AM94" s="688"/>
      <c r="AN94" s="688"/>
      <c r="AO94" s="688"/>
      <c r="AP94" s="688"/>
    </row>
    <row r="95" customFormat="false" ht="12.75" hidden="false" customHeight="false" outlineLevel="0" collapsed="false">
      <c r="A95" s="806" t="s">
        <v>364</v>
      </c>
      <c r="B95" s="680"/>
      <c r="C95" s="680"/>
      <c r="D95" s="680"/>
      <c r="E95" s="807" t="n">
        <f aca="false">E93*$G$9</f>
        <v>0</v>
      </c>
      <c r="F95" s="807" t="n">
        <f aca="false">F93*$G$9</f>
        <v>0</v>
      </c>
      <c r="G95" s="807" t="n">
        <f aca="false">G93*$G$9</f>
        <v>0</v>
      </c>
      <c r="H95" s="807" t="n">
        <f aca="false">H93*$G$9</f>
        <v>0</v>
      </c>
      <c r="I95" s="807" t="n">
        <f aca="false">I93*$G$9</f>
        <v>0</v>
      </c>
      <c r="J95" s="807" t="n">
        <f aca="false">J93*$G$9</f>
        <v>0</v>
      </c>
      <c r="K95" s="807" t="n">
        <f aca="false">K93*$G$9</f>
        <v>0</v>
      </c>
      <c r="L95" s="807" t="n">
        <f aca="false">L93*$G$9</f>
        <v>0</v>
      </c>
      <c r="M95" s="807" t="n">
        <f aca="false">M93*$G$9</f>
        <v>0</v>
      </c>
      <c r="N95" s="807" t="n">
        <f aca="false">N93*$G$9</f>
        <v>0</v>
      </c>
      <c r="O95" s="680"/>
      <c r="P95" s="680"/>
      <c r="Q95" s="688"/>
      <c r="R95" s="688"/>
      <c r="S95" s="688"/>
      <c r="T95" s="688"/>
      <c r="U95" s="688"/>
      <c r="V95" s="688"/>
      <c r="W95" s="688"/>
      <c r="X95" s="688"/>
      <c r="Y95" s="688"/>
      <c r="Z95" s="688"/>
      <c r="AA95" s="688"/>
      <c r="AB95" s="688"/>
      <c r="AC95" s="688"/>
      <c r="AD95" s="688"/>
      <c r="AE95" s="688"/>
      <c r="AF95" s="688"/>
      <c r="AG95" s="688"/>
      <c r="AH95" s="688"/>
      <c r="AI95" s="688"/>
      <c r="AJ95" s="688"/>
      <c r="AK95" s="688"/>
      <c r="AL95" s="688"/>
      <c r="AM95" s="688"/>
      <c r="AN95" s="688"/>
      <c r="AO95" s="688"/>
      <c r="AP95" s="688"/>
    </row>
    <row r="96" customFormat="false" ht="12.75" hidden="false" customHeight="false" outlineLevel="0" collapsed="false">
      <c r="A96" s="811" t="s">
        <v>365</v>
      </c>
      <c r="B96" s="816"/>
      <c r="C96" s="816"/>
      <c r="D96" s="816"/>
      <c r="E96" s="817" t="n">
        <f aca="false">E93-E94+E95</f>
        <v>0</v>
      </c>
      <c r="F96" s="817" t="n">
        <f aca="false">F93-F94+F95</f>
        <v>0</v>
      </c>
      <c r="G96" s="817" t="n">
        <f aca="false">G93-G94+G95</f>
        <v>0</v>
      </c>
      <c r="H96" s="817" t="n">
        <f aca="false">H93-H94+H95</f>
        <v>0</v>
      </c>
      <c r="I96" s="817" t="n">
        <f aca="false">I93-I94+I95</f>
        <v>0</v>
      </c>
      <c r="J96" s="817" t="n">
        <f aca="false">J93-J94+J95</f>
        <v>0</v>
      </c>
      <c r="K96" s="817" t="n">
        <f aca="false">K93-K94+K95</f>
        <v>0</v>
      </c>
      <c r="L96" s="167" t="n">
        <f aca="false">L93-L94+L95</f>
        <v>0</v>
      </c>
      <c r="M96" s="167" t="n">
        <f aca="false">M93-M94+M95</f>
        <v>0</v>
      </c>
      <c r="N96" s="167" t="n">
        <f aca="false">N93-N94+N95</f>
        <v>0</v>
      </c>
      <c r="O96" s="680"/>
      <c r="P96" s="680"/>
      <c r="Q96" s="688"/>
      <c r="R96" s="688"/>
      <c r="S96" s="688"/>
      <c r="T96" s="688"/>
      <c r="U96" s="688"/>
      <c r="V96" s="688"/>
      <c r="W96" s="688"/>
      <c r="X96" s="688"/>
      <c r="Y96" s="688"/>
      <c r="Z96" s="688"/>
      <c r="AA96" s="688"/>
      <c r="AB96" s="688"/>
      <c r="AC96" s="688"/>
      <c r="AD96" s="688"/>
      <c r="AE96" s="688"/>
      <c r="AF96" s="688"/>
      <c r="AG96" s="688"/>
      <c r="AH96" s="688"/>
      <c r="AI96" s="688"/>
      <c r="AJ96" s="688"/>
      <c r="AK96" s="688"/>
      <c r="AL96" s="688"/>
      <c r="AM96" s="688"/>
      <c r="AN96" s="688"/>
      <c r="AO96" s="688"/>
      <c r="AP96" s="688"/>
    </row>
    <row r="97" customFormat="false" ht="12.75" hidden="false" customHeight="false" outlineLevel="0" collapsed="false">
      <c r="A97" s="680"/>
      <c r="B97" s="680"/>
      <c r="C97" s="680"/>
      <c r="D97" s="680"/>
      <c r="E97" s="680"/>
      <c r="F97" s="680"/>
      <c r="G97" s="680"/>
      <c r="H97" s="680"/>
      <c r="I97" s="680"/>
      <c r="J97" s="680"/>
      <c r="K97" s="680"/>
      <c r="L97" s="680"/>
      <c r="M97" s="680"/>
      <c r="N97" s="680"/>
      <c r="O97" s="680"/>
      <c r="P97" s="680"/>
      <c r="Q97" s="688"/>
      <c r="R97" s="688"/>
      <c r="S97" s="688"/>
      <c r="T97" s="688"/>
      <c r="U97" s="688"/>
      <c r="V97" s="688"/>
      <c r="W97" s="688"/>
      <c r="X97" s="688"/>
      <c r="Y97" s="688"/>
      <c r="Z97" s="688"/>
      <c r="AA97" s="688"/>
      <c r="AB97" s="688"/>
      <c r="AC97" s="688"/>
      <c r="AD97" s="688"/>
      <c r="AE97" s="688"/>
      <c r="AF97" s="688"/>
      <c r="AG97" s="688"/>
      <c r="AH97" s="688"/>
      <c r="AI97" s="688"/>
      <c r="AJ97" s="688"/>
      <c r="AK97" s="688"/>
      <c r="AL97" s="688"/>
      <c r="AM97" s="688"/>
      <c r="AN97" s="688"/>
      <c r="AO97" s="688"/>
      <c r="AP97" s="688"/>
    </row>
    <row r="98" customFormat="false" ht="12.75" hidden="false" customHeight="false" outlineLevel="0" collapsed="false">
      <c r="A98" s="680"/>
      <c r="B98" s="680"/>
      <c r="C98" s="680"/>
      <c r="D98" s="680"/>
      <c r="E98" s="680"/>
      <c r="F98" s="680"/>
      <c r="G98" s="680"/>
      <c r="H98" s="680"/>
      <c r="I98" s="680"/>
      <c r="J98" s="680"/>
      <c r="K98" s="680"/>
      <c r="L98" s="680"/>
      <c r="M98" s="680"/>
      <c r="N98" s="680"/>
      <c r="O98" s="680"/>
      <c r="P98" s="680"/>
      <c r="Q98" s="688"/>
      <c r="R98" s="688"/>
      <c r="S98" s="688"/>
      <c r="T98" s="688"/>
      <c r="U98" s="688"/>
      <c r="V98" s="688"/>
      <c r="W98" s="688"/>
      <c r="X98" s="688"/>
      <c r="Y98" s="688"/>
      <c r="Z98" s="688"/>
      <c r="AA98" s="688"/>
      <c r="AB98" s="688"/>
      <c r="AC98" s="688"/>
      <c r="AD98" s="688"/>
      <c r="AE98" s="688"/>
      <c r="AF98" s="688"/>
      <c r="AG98" s="688"/>
      <c r="AH98" s="688"/>
      <c r="AI98" s="688"/>
      <c r="AJ98" s="688"/>
      <c r="AK98" s="688"/>
      <c r="AL98" s="688"/>
      <c r="AM98" s="688"/>
      <c r="AN98" s="688"/>
      <c r="AO98" s="688"/>
      <c r="AP98" s="688"/>
    </row>
    <row r="99" customFormat="false" ht="12.75" hidden="false" customHeight="false" outlineLevel="0" collapsed="false">
      <c r="A99" s="680"/>
      <c r="B99" s="680"/>
      <c r="C99" s="680"/>
      <c r="D99" s="680"/>
      <c r="E99" s="680"/>
      <c r="F99" s="680"/>
      <c r="G99" s="680"/>
      <c r="H99" s="680"/>
      <c r="I99" s="680"/>
      <c r="J99" s="680"/>
      <c r="K99" s="680"/>
      <c r="L99" s="680"/>
      <c r="M99" s="680"/>
      <c r="N99" s="680"/>
      <c r="O99" s="680"/>
      <c r="P99" s="680"/>
      <c r="Q99" s="688"/>
      <c r="R99" s="688"/>
      <c r="S99" s="688"/>
      <c r="T99" s="688"/>
      <c r="U99" s="688"/>
      <c r="V99" s="688"/>
      <c r="W99" s="688"/>
      <c r="X99" s="688"/>
      <c r="Y99" s="688"/>
      <c r="Z99" s="688"/>
      <c r="AA99" s="688"/>
      <c r="AB99" s="688"/>
      <c r="AC99" s="688"/>
      <c r="AD99" s="688"/>
      <c r="AE99" s="688"/>
      <c r="AF99" s="688"/>
      <c r="AG99" s="688"/>
      <c r="AH99" s="688"/>
      <c r="AI99" s="688"/>
      <c r="AJ99" s="688"/>
      <c r="AK99" s="688"/>
      <c r="AL99" s="688"/>
      <c r="AM99" s="688"/>
      <c r="AN99" s="688"/>
      <c r="AO99" s="688"/>
      <c r="AP99" s="688"/>
    </row>
    <row r="100" customFormat="false" ht="12.75" hidden="false" customHeight="false" outlineLevel="0" collapsed="false">
      <c r="A100" s="680"/>
      <c r="B100" s="680"/>
      <c r="C100" s="680"/>
      <c r="D100" s="680"/>
      <c r="E100" s="680"/>
      <c r="F100" s="680"/>
      <c r="G100" s="680"/>
      <c r="H100" s="680"/>
      <c r="I100" s="680"/>
      <c r="J100" s="680"/>
      <c r="K100" s="680"/>
      <c r="L100" s="680"/>
      <c r="M100" s="680"/>
      <c r="N100" s="680"/>
      <c r="O100" s="680"/>
      <c r="P100" s="680"/>
      <c r="Q100" s="688"/>
      <c r="R100" s="688"/>
      <c r="S100" s="688"/>
      <c r="T100" s="688"/>
      <c r="U100" s="688"/>
      <c r="V100" s="688"/>
      <c r="W100" s="688"/>
      <c r="X100" s="688"/>
      <c r="Y100" s="688"/>
      <c r="Z100" s="688"/>
      <c r="AA100" s="688"/>
      <c r="AB100" s="688"/>
      <c r="AC100" s="688"/>
      <c r="AD100" s="688"/>
      <c r="AE100" s="688"/>
      <c r="AF100" s="688"/>
      <c r="AG100" s="688"/>
      <c r="AH100" s="688"/>
      <c r="AI100" s="688"/>
      <c r="AJ100" s="688"/>
      <c r="AK100" s="688"/>
      <c r="AL100" s="688"/>
      <c r="AM100" s="688"/>
      <c r="AN100" s="688"/>
      <c r="AO100" s="688"/>
      <c r="AP100" s="688"/>
    </row>
    <row r="101" customFormat="false" ht="12.75" hidden="false" customHeight="false" outlineLevel="0" collapsed="false">
      <c r="A101" s="680"/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0"/>
      <c r="N101" s="680"/>
      <c r="O101" s="680"/>
      <c r="P101" s="680"/>
      <c r="Q101" s="688"/>
      <c r="R101" s="688"/>
      <c r="S101" s="688"/>
      <c r="T101" s="688"/>
      <c r="U101" s="688"/>
      <c r="V101" s="688"/>
      <c r="W101" s="688"/>
      <c r="X101" s="688"/>
      <c r="Y101" s="688"/>
      <c r="Z101" s="688"/>
      <c r="AA101" s="688"/>
      <c r="AB101" s="688"/>
      <c r="AC101" s="688"/>
      <c r="AD101" s="688"/>
      <c r="AE101" s="688"/>
      <c r="AF101" s="688"/>
      <c r="AG101" s="688"/>
      <c r="AH101" s="688"/>
      <c r="AI101" s="688"/>
      <c r="AJ101" s="688"/>
      <c r="AK101" s="688"/>
      <c r="AL101" s="688"/>
      <c r="AM101" s="688"/>
      <c r="AN101" s="688"/>
      <c r="AO101" s="688"/>
      <c r="AP101" s="688"/>
    </row>
    <row r="102" customFormat="false" ht="12.75" hidden="false" customHeight="false" outlineLevel="0" collapsed="false">
      <c r="A102" s="680"/>
      <c r="B102" s="680"/>
      <c r="C102" s="680"/>
      <c r="D102" s="680"/>
      <c r="E102" s="680"/>
      <c r="F102" s="680"/>
      <c r="G102" s="680"/>
      <c r="H102" s="680"/>
      <c r="I102" s="680"/>
      <c r="J102" s="680"/>
      <c r="K102" s="680"/>
      <c r="L102" s="680"/>
      <c r="M102" s="680"/>
      <c r="N102" s="680"/>
      <c r="O102" s="680"/>
      <c r="P102" s="680"/>
      <c r="Q102" s="688"/>
      <c r="R102" s="688"/>
      <c r="S102" s="688"/>
      <c r="T102" s="688"/>
      <c r="U102" s="688"/>
      <c r="V102" s="688"/>
      <c r="W102" s="688"/>
      <c r="X102" s="688"/>
      <c r="Y102" s="688"/>
      <c r="Z102" s="688"/>
      <c r="AA102" s="688"/>
      <c r="AB102" s="688"/>
      <c r="AC102" s="688"/>
      <c r="AD102" s="688"/>
      <c r="AE102" s="688"/>
      <c r="AF102" s="688"/>
      <c r="AG102" s="688"/>
      <c r="AH102" s="688"/>
      <c r="AI102" s="688"/>
      <c r="AJ102" s="688"/>
      <c r="AK102" s="688"/>
      <c r="AL102" s="688"/>
      <c r="AM102" s="688"/>
      <c r="AN102" s="688"/>
      <c r="AO102" s="688"/>
      <c r="AP102" s="688"/>
    </row>
    <row r="103" customFormat="false" ht="12.75" hidden="false" customHeight="false" outlineLevel="0" collapsed="false">
      <c r="A103" s="680"/>
      <c r="B103" s="680"/>
      <c r="C103" s="680"/>
      <c r="D103" s="680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  <c r="P103" s="680"/>
      <c r="Q103" s="688"/>
      <c r="R103" s="688"/>
      <c r="S103" s="688"/>
      <c r="T103" s="688"/>
      <c r="U103" s="688"/>
      <c r="V103" s="688"/>
      <c r="W103" s="688"/>
      <c r="X103" s="688"/>
      <c r="Y103" s="688"/>
      <c r="Z103" s="688"/>
      <c r="AA103" s="688"/>
      <c r="AB103" s="688"/>
      <c r="AC103" s="688"/>
      <c r="AD103" s="688"/>
      <c r="AE103" s="688"/>
      <c r="AF103" s="688"/>
      <c r="AG103" s="688"/>
      <c r="AH103" s="688"/>
      <c r="AI103" s="688"/>
      <c r="AJ103" s="688"/>
      <c r="AK103" s="688"/>
      <c r="AL103" s="688"/>
      <c r="AM103" s="688"/>
      <c r="AN103" s="688"/>
      <c r="AO103" s="688"/>
      <c r="AP103" s="6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40.42"/>
    <col collapsed="false" customWidth="true" hidden="false" outlineLevel="1" max="2" min="2" style="0" width="11.28"/>
    <col collapsed="false" customWidth="true" hidden="false" outlineLevel="1" max="3" min="3" style="0" width="2.13"/>
    <col collapsed="false" customWidth="true" hidden="false" outlineLevel="0" max="4" min="4" style="204" width="14.99"/>
    <col collapsed="false" customWidth="true" hidden="false" outlineLevel="0" max="5" min="5" style="204" width="14.7"/>
    <col collapsed="false" customWidth="true" hidden="false" outlineLevel="0" max="6" min="6" style="204" width="15.85"/>
    <col collapsed="false" customWidth="true" hidden="false" outlineLevel="0" max="9" min="7" style="0" width="14.99"/>
    <col collapsed="false" customWidth="true" hidden="false" outlineLevel="0" max="10" min="10" style="0" width="14.56"/>
    <col collapsed="false" customWidth="true" hidden="false" outlineLevel="0" max="11" min="11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  <c r="D1" s="437"/>
      <c r="E1" s="437"/>
      <c r="F1" s="818" t="s">
        <v>191</v>
      </c>
      <c r="G1" s="438"/>
      <c r="H1" s="819"/>
      <c r="I1" s="819"/>
      <c r="J1" s="439"/>
    </row>
    <row r="2" customFormat="false" ht="15.75" hidden="false" customHeight="false" outlineLevel="0" collapsed="false">
      <c r="A2" s="440" t="str">
        <f aca="false">'Org Chart'!B5</f>
        <v>Northern Natural</v>
      </c>
      <c r="B2" s="441"/>
      <c r="C2" s="18"/>
      <c r="D2" s="442"/>
      <c r="E2" s="442"/>
      <c r="F2" s="443"/>
      <c r="G2" s="318"/>
      <c r="H2" s="318"/>
      <c r="I2" s="318"/>
      <c r="J2" s="18"/>
      <c r="R2" s="204"/>
    </row>
    <row r="3" customFormat="false" ht="16.5" hidden="false" customHeight="false" outlineLevel="0" collapsed="false">
      <c r="A3" s="445" t="s">
        <v>367</v>
      </c>
      <c r="B3" s="446"/>
      <c r="C3" s="30"/>
      <c r="D3" s="442"/>
      <c r="E3" s="442"/>
      <c r="F3" s="443"/>
      <c r="G3" s="16"/>
      <c r="H3" s="318"/>
      <c r="I3" s="318"/>
      <c r="J3" s="18"/>
      <c r="R3" s="204"/>
    </row>
    <row r="4" customFormat="false" ht="13.5" hidden="false" customHeight="false" outlineLevel="0" collapsed="false">
      <c r="A4" s="447"/>
      <c r="B4" s="441"/>
      <c r="D4" s="442"/>
      <c r="E4" s="442"/>
      <c r="F4" s="448"/>
      <c r="G4" s="449"/>
      <c r="H4" s="449"/>
      <c r="I4" s="449"/>
      <c r="J4" s="30"/>
      <c r="R4" s="204"/>
    </row>
    <row r="5" customFormat="false" ht="12.75" hidden="false" customHeight="false" outlineLevel="0" collapsed="false">
      <c r="A5" s="447"/>
      <c r="B5" s="441"/>
      <c r="D5" s="442"/>
      <c r="E5" s="442"/>
      <c r="F5" s="72"/>
      <c r="G5" s="318"/>
      <c r="H5" s="318"/>
      <c r="I5" s="318"/>
      <c r="R5" s="204"/>
    </row>
    <row r="6" customFormat="false" ht="15.75" hidden="false" customHeight="false" outlineLevel="0" collapsed="false">
      <c r="A6" s="284" t="s">
        <v>155</v>
      </c>
      <c r="B6" s="285"/>
      <c r="C6" s="85"/>
      <c r="D6" s="286"/>
      <c r="E6" s="286"/>
      <c r="F6" s="85"/>
      <c r="G6" s="287"/>
      <c r="H6" s="287"/>
      <c r="I6" s="287"/>
      <c r="J6" s="85"/>
      <c r="K6" s="85"/>
      <c r="L6" s="85"/>
      <c r="M6" s="85"/>
      <c r="N6" s="85"/>
      <c r="O6" s="85"/>
      <c r="P6" s="85"/>
      <c r="Q6" s="85"/>
      <c r="R6" s="290"/>
    </row>
    <row r="7" customFormat="false" ht="12.75" hidden="false" customHeight="false" outlineLevel="0" collapsed="false">
      <c r="D7" s="292"/>
      <c r="E7" s="292"/>
      <c r="F7" s="293"/>
      <c r="G7" s="294" t="s">
        <v>156</v>
      </c>
      <c r="H7" s="295"/>
      <c r="I7" s="293"/>
      <c r="J7" s="293"/>
      <c r="K7" s="296"/>
      <c r="L7" s="293"/>
      <c r="M7" s="296"/>
      <c r="N7" s="296"/>
      <c r="O7" s="296"/>
      <c r="P7" s="296"/>
      <c r="Q7" s="75"/>
      <c r="R7" s="451"/>
      <c r="S7" s="451"/>
    </row>
    <row r="8" customFormat="false" ht="12.75" hidden="false" customHeight="false" outlineLevel="0" collapsed="false">
      <c r="D8" s="297" t="n">
        <v>1998</v>
      </c>
      <c r="E8" s="297" t="n">
        <v>1999</v>
      </c>
      <c r="F8" s="297" t="n">
        <v>2000</v>
      </c>
      <c r="G8" s="297" t="n">
        <v>2001</v>
      </c>
      <c r="H8" s="298" t="n">
        <v>2002</v>
      </c>
      <c r="I8" s="298" t="n">
        <v>2003</v>
      </c>
      <c r="J8" s="298" t="n">
        <v>2004</v>
      </c>
      <c r="K8" s="298" t="n">
        <v>2005</v>
      </c>
      <c r="L8" s="298" t="n">
        <v>2006</v>
      </c>
      <c r="M8" s="299" t="n">
        <v>2007</v>
      </c>
      <c r="N8" s="299" t="n">
        <v>2008</v>
      </c>
      <c r="O8" s="299" t="n">
        <v>2009</v>
      </c>
      <c r="P8" s="299" t="n">
        <v>2010</v>
      </c>
      <c r="Q8" s="300" t="n">
        <v>2011</v>
      </c>
      <c r="R8" s="187"/>
      <c r="S8" s="187"/>
    </row>
    <row r="9" customFormat="false" ht="12.75" hidden="false" customHeight="false" outlineLevel="0" collapsed="false">
      <c r="F9" s="301" t="s">
        <v>157</v>
      </c>
      <c r="G9" s="297" t="n">
        <v>1</v>
      </c>
      <c r="H9" s="298" t="n">
        <v>2</v>
      </c>
      <c r="I9" s="298" t="n">
        <v>3</v>
      </c>
      <c r="J9" s="298" t="n">
        <v>4</v>
      </c>
      <c r="K9" s="298" t="n">
        <v>5</v>
      </c>
      <c r="L9" s="298" t="n">
        <v>6</v>
      </c>
      <c r="M9" s="298" t="n">
        <v>7</v>
      </c>
      <c r="N9" s="298" t="n">
        <v>8</v>
      </c>
      <c r="O9" s="298" t="n">
        <v>9</v>
      </c>
      <c r="P9" s="298" t="n">
        <v>10</v>
      </c>
      <c r="Q9" s="302" t="n">
        <v>11</v>
      </c>
      <c r="R9" s="187"/>
      <c r="S9" s="187"/>
    </row>
    <row r="10" customFormat="false" ht="12.75" hidden="false" customHeight="false" outlineLevel="0" collapsed="false">
      <c r="A10" s="386" t="s">
        <v>368</v>
      </c>
      <c r="D10" s="305"/>
      <c r="E10" s="305"/>
      <c r="F10" s="820"/>
      <c r="G10" s="821"/>
      <c r="H10" s="795"/>
      <c r="I10" s="795"/>
      <c r="J10" s="795"/>
      <c r="K10" s="795"/>
      <c r="L10" s="795"/>
      <c r="M10" s="795"/>
      <c r="N10" s="795"/>
      <c r="O10" s="795"/>
      <c r="P10" s="795"/>
      <c r="Q10" s="597"/>
      <c r="R10" s="187"/>
      <c r="S10" s="187"/>
    </row>
    <row r="11" customFormat="false" ht="12.75" hidden="false" customHeight="false" outlineLevel="0" collapsed="false">
      <c r="A11" s="0" t="str">
        <f aca="false">A78</f>
        <v>Transportation &amp; Storage of NatGas</v>
      </c>
      <c r="D11" s="822" t="n">
        <f aca="false">D78</f>
        <v>468000</v>
      </c>
      <c r="E11" s="822" t="n">
        <f aca="false">E78</f>
        <v>441000</v>
      </c>
      <c r="F11" s="822" t="n">
        <f aca="false">F78</f>
        <v>425000</v>
      </c>
      <c r="G11" s="823" t="n">
        <f aca="false">G78</f>
        <v>424000</v>
      </c>
      <c r="H11" s="824" t="n">
        <f aca="false">H78</f>
        <v>428240</v>
      </c>
      <c r="I11" s="824" t="n">
        <f aca="false">I78</f>
        <v>432522.4</v>
      </c>
      <c r="J11" s="824" t="n">
        <f aca="false">J78</f>
        <v>436847.624</v>
      </c>
      <c r="K11" s="824" t="n">
        <f aca="false">K78</f>
        <v>441216.10024</v>
      </c>
      <c r="L11" s="824" t="n">
        <f aca="false">L78</f>
        <v>445628.2612424</v>
      </c>
      <c r="M11" s="824" t="n">
        <f aca="false">M78</f>
        <v>450084.543854824</v>
      </c>
      <c r="N11" s="824" t="n">
        <f aca="false">N78</f>
        <v>454585.389293372</v>
      </c>
      <c r="O11" s="824" t="n">
        <f aca="false">O78</f>
        <v>459131.243186306</v>
      </c>
      <c r="P11" s="824" t="n">
        <f aca="false">P78</f>
        <v>463722.555618169</v>
      </c>
      <c r="Q11" s="824" t="n">
        <f aca="false">Q78</f>
        <v>468359.781174351</v>
      </c>
      <c r="R11" s="187"/>
      <c r="S11" s="187"/>
    </row>
    <row r="12" customFormat="false" ht="12.75" hidden="false" customHeight="false" outlineLevel="0" collapsed="false">
      <c r="A12" s="0" t="str">
        <f aca="false">A79</f>
        <v>LNG Terminalling Revenue</v>
      </c>
      <c r="D12" s="822" t="n">
        <f aca="false">D79</f>
        <v>0</v>
      </c>
      <c r="E12" s="822" t="n">
        <f aca="false">E79</f>
        <v>0</v>
      </c>
      <c r="F12" s="822" t="n">
        <f aca="false">F79</f>
        <v>0</v>
      </c>
      <c r="G12" s="823" t="n">
        <f aca="false">G79</f>
        <v>98000</v>
      </c>
      <c r="H12" s="824" t="n">
        <f aca="false">H79</f>
        <v>99960</v>
      </c>
      <c r="I12" s="824" t="n">
        <f aca="false">I79</f>
        <v>101959.2</v>
      </c>
      <c r="J12" s="824" t="n">
        <f aca="false">J79</f>
        <v>103998.384</v>
      </c>
      <c r="K12" s="824" t="n">
        <f aca="false">K79</f>
        <v>106078.35168</v>
      </c>
      <c r="L12" s="824" t="n">
        <f aca="false">L79</f>
        <v>108199.9187136</v>
      </c>
      <c r="M12" s="824" t="n">
        <f aca="false">M79</f>
        <v>110363.917087872</v>
      </c>
      <c r="N12" s="824" t="n">
        <f aca="false">N79</f>
        <v>112571.195429629</v>
      </c>
      <c r="O12" s="824" t="n">
        <f aca="false">O79</f>
        <v>114822.619338222</v>
      </c>
      <c r="P12" s="824" t="n">
        <f aca="false">P79</f>
        <v>117119.071724987</v>
      </c>
      <c r="Q12" s="824" t="n">
        <f aca="false">Q79</f>
        <v>119461.453159486</v>
      </c>
      <c r="R12" s="187"/>
      <c r="S12" s="187"/>
    </row>
    <row r="13" customFormat="false" ht="12.75" hidden="false" customHeight="false" outlineLevel="0" collapsed="false">
      <c r="A13" s="0" t="str">
        <f aca="false">A80</f>
        <v>Other</v>
      </c>
      <c r="D13" s="822" t="n">
        <f aca="false">D80</f>
        <v>28000</v>
      </c>
      <c r="E13" s="822" t="n">
        <f aca="false">E80</f>
        <v>30000</v>
      </c>
      <c r="F13" s="822" t="n">
        <f aca="false">F80</f>
        <v>58000</v>
      </c>
      <c r="G13" s="823" t="n">
        <f aca="false">G80</f>
        <v>18000</v>
      </c>
      <c r="H13" s="824" t="n">
        <f aca="false">H80</f>
        <v>18540</v>
      </c>
      <c r="I13" s="824" t="n">
        <f aca="false">I80</f>
        <v>19096.2</v>
      </c>
      <c r="J13" s="824" t="n">
        <f aca="false">J80</f>
        <v>19669.086</v>
      </c>
      <c r="K13" s="824" t="n">
        <f aca="false">K80</f>
        <v>20259.15858</v>
      </c>
      <c r="L13" s="824" t="n">
        <f aca="false">L80</f>
        <v>20866.9333374</v>
      </c>
      <c r="M13" s="824" t="n">
        <f aca="false">M80</f>
        <v>21492.941337522</v>
      </c>
      <c r="N13" s="824" t="n">
        <f aca="false">N80</f>
        <v>22137.7295776477</v>
      </c>
      <c r="O13" s="824" t="n">
        <f aca="false">O80</f>
        <v>22801.8614649771</v>
      </c>
      <c r="P13" s="824" t="n">
        <f aca="false">P80</f>
        <v>23485.9173089264</v>
      </c>
      <c r="Q13" s="824" t="n">
        <f aca="false">Q80</f>
        <v>24190.4948281942</v>
      </c>
      <c r="R13" s="187"/>
      <c r="S13" s="187"/>
    </row>
    <row r="14" customFormat="false" ht="12.75" hidden="true" customHeight="false" outlineLevel="1" collapsed="false">
      <c r="A14" s="0" t="str">
        <f aca="false">A81</f>
        <v>Revenue 4</v>
      </c>
      <c r="D14" s="822" t="n">
        <f aca="false">D81</f>
        <v>0</v>
      </c>
      <c r="E14" s="822" t="n">
        <f aca="false">E81</f>
        <v>0</v>
      </c>
      <c r="F14" s="822" t="n">
        <f aca="false">F81</f>
        <v>0</v>
      </c>
      <c r="G14" s="823" t="n">
        <f aca="false">G81</f>
        <v>0</v>
      </c>
      <c r="H14" s="824" t="n">
        <f aca="false">H81</f>
        <v>0</v>
      </c>
      <c r="I14" s="824" t="n">
        <f aca="false">I81</f>
        <v>0</v>
      </c>
      <c r="J14" s="824" t="n">
        <f aca="false">J81</f>
        <v>0</v>
      </c>
      <c r="K14" s="824" t="n">
        <f aca="false">K81</f>
        <v>0</v>
      </c>
      <c r="L14" s="824" t="n">
        <f aca="false">L81</f>
        <v>0</v>
      </c>
      <c r="M14" s="824" t="n">
        <f aca="false">M81</f>
        <v>0</v>
      </c>
      <c r="N14" s="824" t="n">
        <f aca="false">N81</f>
        <v>0</v>
      </c>
      <c r="O14" s="824" t="n">
        <f aca="false">O81</f>
        <v>0</v>
      </c>
      <c r="P14" s="824" t="n">
        <f aca="false">P81</f>
        <v>0</v>
      </c>
      <c r="Q14" s="824" t="n">
        <f aca="false">Q81</f>
        <v>0</v>
      </c>
      <c r="R14" s="187"/>
      <c r="S14" s="187"/>
    </row>
    <row r="15" customFormat="false" ht="12.75" hidden="true" customHeight="false" outlineLevel="1" collapsed="false">
      <c r="A15" s="0" t="str">
        <f aca="false">A82</f>
        <v>Revenue 5</v>
      </c>
      <c r="D15" s="822" t="n">
        <f aca="false">D82</f>
        <v>0</v>
      </c>
      <c r="E15" s="822" t="n">
        <f aca="false">E82</f>
        <v>0</v>
      </c>
      <c r="F15" s="822" t="n">
        <f aca="false">F82</f>
        <v>0</v>
      </c>
      <c r="G15" s="823" t="n">
        <f aca="false">G82</f>
        <v>0</v>
      </c>
      <c r="H15" s="824" t="n">
        <f aca="false">H82</f>
        <v>0</v>
      </c>
      <c r="I15" s="824" t="n">
        <f aca="false">I82</f>
        <v>0</v>
      </c>
      <c r="J15" s="824" t="n">
        <f aca="false">J82</f>
        <v>0</v>
      </c>
      <c r="K15" s="824" t="n">
        <f aca="false">K82</f>
        <v>0</v>
      </c>
      <c r="L15" s="824" t="n">
        <f aca="false">L82</f>
        <v>0</v>
      </c>
      <c r="M15" s="824" t="n">
        <f aca="false">M82</f>
        <v>0</v>
      </c>
      <c r="N15" s="824" t="n">
        <f aca="false">N82</f>
        <v>0</v>
      </c>
      <c r="O15" s="824" t="n">
        <f aca="false">O82</f>
        <v>0</v>
      </c>
      <c r="P15" s="824" t="n">
        <f aca="false">P82</f>
        <v>0</v>
      </c>
      <c r="Q15" s="824" t="n">
        <f aca="false">Q82</f>
        <v>0</v>
      </c>
      <c r="R15" s="204"/>
    </row>
    <row r="16" customFormat="false" ht="12.75" hidden="true" customHeight="false" outlineLevel="1" collapsed="false">
      <c r="A16" s="0" t="str">
        <f aca="false">A83</f>
        <v>Revenue 6</v>
      </c>
      <c r="D16" s="822" t="n">
        <f aca="false">D83</f>
        <v>0</v>
      </c>
      <c r="E16" s="822" t="n">
        <f aca="false">E83</f>
        <v>0</v>
      </c>
      <c r="F16" s="822" t="n">
        <f aca="false">F83</f>
        <v>0</v>
      </c>
      <c r="G16" s="823" t="n">
        <f aca="false">G83</f>
        <v>0</v>
      </c>
      <c r="H16" s="824" t="n">
        <f aca="false">H83</f>
        <v>0</v>
      </c>
      <c r="I16" s="824" t="n">
        <f aca="false">I83</f>
        <v>0</v>
      </c>
      <c r="J16" s="824" t="n">
        <f aca="false">J83</f>
        <v>0</v>
      </c>
      <c r="K16" s="824" t="n">
        <f aca="false">K83</f>
        <v>0</v>
      </c>
      <c r="L16" s="824" t="n">
        <f aca="false">L83</f>
        <v>0</v>
      </c>
      <c r="M16" s="824" t="n">
        <f aca="false">M83</f>
        <v>0</v>
      </c>
      <c r="N16" s="824" t="n">
        <f aca="false">N83</f>
        <v>0</v>
      </c>
      <c r="O16" s="824" t="n">
        <f aca="false">O83</f>
        <v>0</v>
      </c>
      <c r="P16" s="824" t="n">
        <f aca="false">P83</f>
        <v>0</v>
      </c>
      <c r="Q16" s="824" t="n">
        <f aca="false">Q83</f>
        <v>0</v>
      </c>
      <c r="R16" s="204"/>
    </row>
    <row r="17" customFormat="false" ht="12.75" hidden="false" customHeight="false" outlineLevel="0" collapsed="false">
      <c r="A17" s="454" t="s">
        <v>369</v>
      </c>
      <c r="B17" s="455"/>
      <c r="C17" s="456"/>
      <c r="D17" s="825" t="n">
        <f aca="false">SUM(D11:D16)</f>
        <v>496000</v>
      </c>
      <c r="E17" s="825" t="n">
        <f aca="false">SUM(E11:E16)</f>
        <v>471000</v>
      </c>
      <c r="F17" s="825" t="n">
        <f aca="false">SUM(F11:F16)</f>
        <v>483000</v>
      </c>
      <c r="G17" s="825" t="n">
        <f aca="false">SUM(G11:G16)</f>
        <v>540000</v>
      </c>
      <c r="H17" s="826" t="n">
        <f aca="false">SUM(H11:H16)</f>
        <v>546740</v>
      </c>
      <c r="I17" s="826" t="n">
        <f aca="false">SUM(I11:I16)</f>
        <v>553577.8</v>
      </c>
      <c r="J17" s="826" t="n">
        <f aca="false">SUM(J11:J16)</f>
        <v>560515.094</v>
      </c>
      <c r="K17" s="826" t="n">
        <f aca="false">SUM(K11:K16)</f>
        <v>567553.6105</v>
      </c>
      <c r="L17" s="826" t="n">
        <f aca="false">SUM(L11:L16)</f>
        <v>574695.1132934</v>
      </c>
      <c r="M17" s="826" t="n">
        <f aca="false">SUM(M11:M16)</f>
        <v>581941.402280218</v>
      </c>
      <c r="N17" s="826" t="n">
        <f aca="false">SUM(N11:N16)</f>
        <v>589294.314300649</v>
      </c>
      <c r="O17" s="826" t="n">
        <f aca="false">SUM(O11:O16)</f>
        <v>596755.723989505</v>
      </c>
      <c r="P17" s="826" t="n">
        <f aca="false">SUM(P11:P16)</f>
        <v>604327.544652082</v>
      </c>
      <c r="Q17" s="826" t="n">
        <f aca="false">SUM(Q11:Q16)</f>
        <v>612011.729162031</v>
      </c>
      <c r="R17" s="204"/>
    </row>
    <row r="18" customFormat="false" ht="12.75" hidden="false" customHeight="false" outlineLevel="0" collapsed="false">
      <c r="D18" s="458"/>
      <c r="E18" s="458"/>
      <c r="F18" s="310"/>
      <c r="G18" s="82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04"/>
    </row>
    <row r="19" customFormat="false" ht="12.75" hidden="false" customHeight="false" outlineLevel="0" collapsed="false">
      <c r="A19" s="386" t="s">
        <v>219</v>
      </c>
      <c r="D19" s="458"/>
      <c r="E19" s="458"/>
      <c r="F19" s="310"/>
      <c r="G19" s="82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204"/>
    </row>
    <row r="20" customFormat="false" ht="12.75" hidden="false" customHeight="false" outlineLevel="0" collapsed="false">
      <c r="A20" s="0" t="str">
        <f aca="false">A100</f>
        <v>Operation and Maintenance</v>
      </c>
      <c r="D20" s="822" t="n">
        <f aca="false">D100</f>
        <v>213000</v>
      </c>
      <c r="E20" s="822" t="n">
        <f aca="false">E100</f>
        <v>191000</v>
      </c>
      <c r="F20" s="822" t="n">
        <f aca="false">F100</f>
        <v>211000</v>
      </c>
      <c r="G20" s="828" t="n">
        <f aca="false">G100</f>
        <v>210000</v>
      </c>
      <c r="H20" s="829" t="n">
        <f aca="false">H100</f>
        <v>215250</v>
      </c>
      <c r="I20" s="829" t="n">
        <f aca="false">I100</f>
        <v>220631.25</v>
      </c>
      <c r="J20" s="829" t="n">
        <f aca="false">J100</f>
        <v>226147.03125</v>
      </c>
      <c r="K20" s="829" t="n">
        <f aca="false">K100</f>
        <v>231800.70703125</v>
      </c>
      <c r="L20" s="829" t="n">
        <f aca="false">L100</f>
        <v>237595.724707031</v>
      </c>
      <c r="M20" s="829" t="n">
        <f aca="false">M100</f>
        <v>243535.617824707</v>
      </c>
      <c r="N20" s="829" t="n">
        <f aca="false">N100</f>
        <v>249624.008270325</v>
      </c>
      <c r="O20" s="829" t="n">
        <f aca="false">O100</f>
        <v>255864.608477083</v>
      </c>
      <c r="P20" s="829" t="n">
        <f aca="false">P100</f>
        <v>262261.22368901</v>
      </c>
      <c r="Q20" s="829" t="n">
        <f aca="false">Q100</f>
        <v>268817.754281235</v>
      </c>
      <c r="R20" s="204"/>
    </row>
    <row r="21" customFormat="false" ht="12.75" hidden="true" customHeight="false" outlineLevel="1" collapsed="false">
      <c r="A21" s="0" t="str">
        <f aca="false">A101</f>
        <v>Expense 2</v>
      </c>
      <c r="D21" s="822" t="n">
        <f aca="false">D101</f>
        <v>0</v>
      </c>
      <c r="E21" s="822" t="n">
        <f aca="false">E101</f>
        <v>0</v>
      </c>
      <c r="F21" s="822" t="n">
        <f aca="false">F101</f>
        <v>0</v>
      </c>
      <c r="G21" s="822" t="n">
        <f aca="false">G101</f>
        <v>0</v>
      </c>
      <c r="H21" s="829" t="n">
        <f aca="false">H101</f>
        <v>0</v>
      </c>
      <c r="I21" s="829" t="n">
        <f aca="false">I101</f>
        <v>0</v>
      </c>
      <c r="J21" s="829" t="n">
        <f aca="false">J101</f>
        <v>0</v>
      </c>
      <c r="K21" s="829" t="n">
        <f aca="false">K101</f>
        <v>0</v>
      </c>
      <c r="L21" s="829" t="n">
        <f aca="false">L101</f>
        <v>0</v>
      </c>
      <c r="M21" s="829" t="n">
        <f aca="false">M101</f>
        <v>0</v>
      </c>
      <c r="N21" s="829" t="n">
        <f aca="false">N101</f>
        <v>0</v>
      </c>
      <c r="O21" s="829" t="n">
        <f aca="false">O101</f>
        <v>0</v>
      </c>
      <c r="P21" s="829" t="n">
        <f aca="false">P101</f>
        <v>0</v>
      </c>
      <c r="Q21" s="829" t="n">
        <f aca="false">Q101</f>
        <v>0</v>
      </c>
      <c r="R21" s="204"/>
    </row>
    <row r="22" customFormat="false" ht="12.75" hidden="true" customHeight="false" outlineLevel="1" collapsed="false">
      <c r="A22" s="0" t="str">
        <f aca="false">A102</f>
        <v>Expense 3</v>
      </c>
      <c r="D22" s="822" t="n">
        <f aca="false">D102</f>
        <v>0</v>
      </c>
      <c r="E22" s="822" t="n">
        <f aca="false">E102</f>
        <v>0</v>
      </c>
      <c r="F22" s="822" t="n">
        <f aca="false">F102</f>
        <v>0</v>
      </c>
      <c r="G22" s="822" t="n">
        <f aca="false">G102</f>
        <v>0</v>
      </c>
      <c r="H22" s="829" t="n">
        <f aca="false">H102</f>
        <v>0</v>
      </c>
      <c r="I22" s="829" t="n">
        <f aca="false">I102</f>
        <v>0</v>
      </c>
      <c r="J22" s="829" t="n">
        <f aca="false">J102</f>
        <v>0</v>
      </c>
      <c r="K22" s="829" t="n">
        <f aca="false">K102</f>
        <v>0</v>
      </c>
      <c r="L22" s="829" t="n">
        <f aca="false">L102</f>
        <v>0</v>
      </c>
      <c r="M22" s="829" t="n">
        <f aca="false">M102</f>
        <v>0</v>
      </c>
      <c r="N22" s="829" t="n">
        <f aca="false">N102</f>
        <v>0</v>
      </c>
      <c r="O22" s="829" t="n">
        <f aca="false">O102</f>
        <v>0</v>
      </c>
      <c r="P22" s="829" t="n">
        <f aca="false">P102</f>
        <v>0</v>
      </c>
      <c r="Q22" s="829" t="n">
        <f aca="false">Q102</f>
        <v>0</v>
      </c>
      <c r="R22" s="204"/>
    </row>
    <row r="23" customFormat="false" ht="12.75" hidden="true" customHeight="false" outlineLevel="1" collapsed="false">
      <c r="A23" s="0" t="str">
        <f aca="false">A103</f>
        <v>Expense 4</v>
      </c>
      <c r="D23" s="822" t="n">
        <f aca="false">D103</f>
        <v>0</v>
      </c>
      <c r="E23" s="822" t="n">
        <f aca="false">E103</f>
        <v>0</v>
      </c>
      <c r="F23" s="822" t="n">
        <f aca="false">F103</f>
        <v>0</v>
      </c>
      <c r="G23" s="822" t="n">
        <f aca="false">G103</f>
        <v>0</v>
      </c>
      <c r="H23" s="829" t="n">
        <f aca="false">H103</f>
        <v>0</v>
      </c>
      <c r="I23" s="829" t="n">
        <f aca="false">I103</f>
        <v>0</v>
      </c>
      <c r="J23" s="829" t="n">
        <f aca="false">J103</f>
        <v>0</v>
      </c>
      <c r="K23" s="829" t="n">
        <f aca="false">K103</f>
        <v>0</v>
      </c>
      <c r="L23" s="829" t="n">
        <f aca="false">L103</f>
        <v>0</v>
      </c>
      <c r="M23" s="829" t="n">
        <f aca="false">M103</f>
        <v>0</v>
      </c>
      <c r="N23" s="829" t="n">
        <f aca="false">N103</f>
        <v>0</v>
      </c>
      <c r="O23" s="829" t="n">
        <f aca="false">O103</f>
        <v>0</v>
      </c>
      <c r="P23" s="829" t="n">
        <f aca="false">P103</f>
        <v>0</v>
      </c>
      <c r="Q23" s="829" t="n">
        <f aca="false">Q103</f>
        <v>0</v>
      </c>
      <c r="R23" s="204"/>
    </row>
    <row r="24" customFormat="false" ht="12.75" hidden="true" customHeight="false" outlineLevel="1" collapsed="false">
      <c r="A24" s="0" t="str">
        <f aca="false">A104</f>
        <v>Expense 5</v>
      </c>
      <c r="D24" s="822" t="n">
        <f aca="false">D104</f>
        <v>0</v>
      </c>
      <c r="E24" s="822" t="n">
        <f aca="false">E104</f>
        <v>0</v>
      </c>
      <c r="F24" s="822" t="n">
        <f aca="false">F104</f>
        <v>0</v>
      </c>
      <c r="G24" s="822" t="n">
        <f aca="false">G104</f>
        <v>0</v>
      </c>
      <c r="H24" s="829" t="n">
        <f aca="false">H104</f>
        <v>0</v>
      </c>
      <c r="I24" s="829" t="n">
        <f aca="false">I104</f>
        <v>0</v>
      </c>
      <c r="J24" s="829" t="n">
        <f aca="false">J104</f>
        <v>0</v>
      </c>
      <c r="K24" s="829" t="n">
        <f aca="false">K104</f>
        <v>0</v>
      </c>
      <c r="L24" s="829" t="n">
        <f aca="false">L104</f>
        <v>0</v>
      </c>
      <c r="M24" s="829" t="n">
        <f aca="false">M104</f>
        <v>0</v>
      </c>
      <c r="N24" s="829" t="n">
        <f aca="false">N104</f>
        <v>0</v>
      </c>
      <c r="O24" s="829" t="n">
        <f aca="false">O104</f>
        <v>0</v>
      </c>
      <c r="P24" s="829" t="n">
        <f aca="false">P104</f>
        <v>0</v>
      </c>
      <c r="Q24" s="829" t="n">
        <f aca="false">Q104</f>
        <v>0</v>
      </c>
      <c r="R24" s="204"/>
    </row>
    <row r="25" customFormat="false" ht="12.75" hidden="false" customHeight="false" outlineLevel="0" collapsed="false">
      <c r="A25" s="25" t="s">
        <v>370</v>
      </c>
      <c r="B25" s="459"/>
      <c r="C25" s="16"/>
      <c r="D25" s="830" t="n">
        <f aca="false">SUM(D20:D24)</f>
        <v>213000</v>
      </c>
      <c r="E25" s="830" t="n">
        <f aca="false">SUM(E20:E24)</f>
        <v>191000</v>
      </c>
      <c r="F25" s="830" t="n">
        <f aca="false">SUM(F20:F24)</f>
        <v>211000</v>
      </c>
      <c r="G25" s="830" t="n">
        <f aca="false">SUM(G20:G24)</f>
        <v>210000</v>
      </c>
      <c r="H25" s="173" t="n">
        <f aca="false">SUM(H20:H24)</f>
        <v>215250</v>
      </c>
      <c r="I25" s="173" t="n">
        <f aca="false">SUM(I20:I24)</f>
        <v>220631.25</v>
      </c>
      <c r="J25" s="173" t="n">
        <f aca="false">SUM(J20:J24)</f>
        <v>226147.03125</v>
      </c>
      <c r="K25" s="173" t="n">
        <f aca="false">SUM(K20:K24)</f>
        <v>231800.70703125</v>
      </c>
      <c r="L25" s="173" t="n">
        <f aca="false">SUM(L20:L24)</f>
        <v>237595.724707031</v>
      </c>
      <c r="M25" s="173" t="n">
        <f aca="false">SUM(M20:M24)</f>
        <v>243535.617824707</v>
      </c>
      <c r="N25" s="173" t="n">
        <f aca="false">SUM(N20:N24)</f>
        <v>249624.008270325</v>
      </c>
      <c r="O25" s="173" t="n">
        <f aca="false">SUM(O20:O24)</f>
        <v>255864.608477083</v>
      </c>
      <c r="P25" s="173" t="n">
        <f aca="false">SUM(P20:P24)</f>
        <v>262261.22368901</v>
      </c>
      <c r="Q25" s="173" t="n">
        <f aca="false">SUM(Q20:Q24)</f>
        <v>268817.754281235</v>
      </c>
      <c r="R25" s="204"/>
    </row>
    <row r="26" customFormat="false" ht="12.75" hidden="false" customHeight="false" outlineLevel="0" collapsed="false">
      <c r="A26" s="25"/>
      <c r="B26" s="459"/>
      <c r="C26" s="16"/>
      <c r="D26" s="460"/>
      <c r="E26" s="460"/>
      <c r="F26" s="460"/>
      <c r="G26" s="460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04"/>
    </row>
    <row r="27" customFormat="false" ht="13.5" hidden="false" customHeight="false" outlineLevel="0" collapsed="false">
      <c r="A27" s="25" t="s">
        <v>197</v>
      </c>
      <c r="B27" s="16"/>
      <c r="C27" s="16"/>
      <c r="D27" s="484" t="n">
        <f aca="false">D17-D25</f>
        <v>283000</v>
      </c>
      <c r="E27" s="484" t="n">
        <f aca="false">E17-E25</f>
        <v>280000</v>
      </c>
      <c r="F27" s="484" t="n">
        <f aca="false">F17-F25</f>
        <v>272000</v>
      </c>
      <c r="G27" s="484" t="n">
        <f aca="false">G17-G25</f>
        <v>330000</v>
      </c>
      <c r="H27" s="485" t="n">
        <f aca="false">H17-H25</f>
        <v>331490</v>
      </c>
      <c r="I27" s="485" t="n">
        <f aca="false">I17-I25</f>
        <v>332946.55</v>
      </c>
      <c r="J27" s="485" t="n">
        <f aca="false">J17-J25</f>
        <v>334368.06275</v>
      </c>
      <c r="K27" s="485" t="n">
        <f aca="false">K17-K25</f>
        <v>335752.90346875</v>
      </c>
      <c r="L27" s="485" t="n">
        <f aca="false">L17-L25</f>
        <v>337099.388586369</v>
      </c>
      <c r="M27" s="485" t="n">
        <f aca="false">M17-M25</f>
        <v>338405.784455511</v>
      </c>
      <c r="N27" s="485" t="n">
        <f aca="false">N17-N25</f>
        <v>339670.306030325</v>
      </c>
      <c r="O27" s="485" t="n">
        <f aca="false">O17-O25</f>
        <v>340891.115512423</v>
      </c>
      <c r="P27" s="485" t="n">
        <f aca="false">P17-P25</f>
        <v>342066.320963072</v>
      </c>
      <c r="Q27" s="485" t="n">
        <f aca="false">Q17-Q25</f>
        <v>343193.974880796</v>
      </c>
      <c r="R27" s="204"/>
    </row>
    <row r="28" customFormat="false" ht="13.5" hidden="false" customHeight="false" outlineLevel="0" collapsed="false">
      <c r="A28" s="25"/>
      <c r="B28" s="16"/>
      <c r="C28" s="16"/>
      <c r="D28" s="457"/>
      <c r="E28" s="457"/>
      <c r="F28" s="457"/>
      <c r="G28" s="457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204"/>
    </row>
    <row r="29" customFormat="false" ht="12.75" hidden="false" customHeight="false" outlineLevel="0" collapsed="false">
      <c r="A29" s="243" t="s">
        <v>371</v>
      </c>
      <c r="D29" s="822" t="n">
        <v>56000</v>
      </c>
      <c r="E29" s="822" t="n">
        <v>58000</v>
      </c>
      <c r="F29" s="822" t="n">
        <v>65000</v>
      </c>
      <c r="G29" s="823" t="n">
        <f aca="false">33000*2</f>
        <v>66000</v>
      </c>
      <c r="R29" s="204"/>
    </row>
    <row r="30" customFormat="false" ht="12.75" hidden="false" customHeight="false" outlineLevel="0" collapsed="false">
      <c r="D30" s="305"/>
      <c r="E30" s="305"/>
      <c r="F30" s="305"/>
      <c r="G30" s="305"/>
      <c r="R30" s="204"/>
    </row>
    <row r="31" customFormat="false" ht="13.5" hidden="false" customHeight="false" outlineLevel="0" collapsed="false">
      <c r="A31" s="386" t="s">
        <v>200</v>
      </c>
      <c r="D31" s="831" t="n">
        <f aca="false">D27-D29</f>
        <v>227000</v>
      </c>
      <c r="E31" s="831" t="n">
        <f aca="false">E27-E29</f>
        <v>222000</v>
      </c>
      <c r="F31" s="831" t="n">
        <f aca="false">F27-F29</f>
        <v>207000</v>
      </c>
      <c r="G31" s="831" t="n">
        <f aca="false">G27-G29</f>
        <v>264000</v>
      </c>
      <c r="H31" s="832" t="n">
        <f aca="false">H27-H29</f>
        <v>331490</v>
      </c>
      <c r="I31" s="832" t="n">
        <f aca="false">I27-I29</f>
        <v>332946.55</v>
      </c>
      <c r="J31" s="832" t="n">
        <f aca="false">J27-J29</f>
        <v>334368.06275</v>
      </c>
      <c r="K31" s="832" t="n">
        <f aca="false">K27-K29</f>
        <v>335752.90346875</v>
      </c>
      <c r="L31" s="832" t="n">
        <f aca="false">L27-L29</f>
        <v>337099.388586369</v>
      </c>
      <c r="M31" s="832" t="n">
        <f aca="false">M27-M29</f>
        <v>338405.784455511</v>
      </c>
      <c r="N31" s="832" t="n">
        <f aca="false">N27-N29</f>
        <v>339670.306030325</v>
      </c>
      <c r="O31" s="832" t="n">
        <f aca="false">O27-O29</f>
        <v>340891.115512423</v>
      </c>
      <c r="P31" s="832" t="n">
        <f aca="false">P27-P29</f>
        <v>342066.320963072</v>
      </c>
      <c r="Q31" s="832" t="n">
        <f aca="false">Q27-Q29</f>
        <v>343193.974880796</v>
      </c>
      <c r="R31" s="204"/>
    </row>
    <row r="32" customFormat="false" ht="13.5" hidden="false" customHeight="false" outlineLevel="0" collapsed="false">
      <c r="D32" s="305"/>
      <c r="E32" s="305"/>
      <c r="F32" s="305"/>
      <c r="G32" s="305"/>
      <c r="R32" s="204"/>
    </row>
    <row r="33" customFormat="false" ht="12.75" hidden="false" customHeight="false" outlineLevel="0" collapsed="false">
      <c r="A33" s="386" t="s">
        <v>372</v>
      </c>
      <c r="D33" s="305"/>
      <c r="E33" s="305"/>
      <c r="F33" s="305"/>
      <c r="G33" s="305"/>
      <c r="R33" s="204"/>
    </row>
    <row r="34" customFormat="false" ht="12.75" hidden="false" customHeight="false" outlineLevel="0" collapsed="false">
      <c r="A34" s="0" t="s">
        <v>373</v>
      </c>
      <c r="D34" s="822" t="n">
        <f aca="false">D120</f>
        <v>24000</v>
      </c>
      <c r="E34" s="822" t="n">
        <f aca="false">E120</f>
        <v>6000</v>
      </c>
      <c r="F34" s="822" t="n">
        <f aca="false">F120</f>
        <v>8000</v>
      </c>
      <c r="G34" s="822" t="n">
        <f aca="false">G120</f>
        <v>8000</v>
      </c>
      <c r="H34" s="833" t="n">
        <f aca="false">H120</f>
        <v>8080</v>
      </c>
      <c r="I34" s="833" t="n">
        <f aca="false">I120</f>
        <v>8160.8</v>
      </c>
      <c r="J34" s="833" t="n">
        <f aca="false">J120</f>
        <v>8242.408</v>
      </c>
      <c r="K34" s="833" t="n">
        <f aca="false">K120</f>
        <v>8324.83208</v>
      </c>
      <c r="L34" s="833" t="n">
        <f aca="false">L120</f>
        <v>8408.0804008</v>
      </c>
      <c r="M34" s="833" t="n">
        <f aca="false">M120</f>
        <v>8492.161204808</v>
      </c>
      <c r="N34" s="833" t="n">
        <f aca="false">N120</f>
        <v>8577.08281685608</v>
      </c>
      <c r="O34" s="833" t="n">
        <f aca="false">O120</f>
        <v>8662.85364502464</v>
      </c>
      <c r="P34" s="833" t="n">
        <f aca="false">P120</f>
        <v>8749.48218147489</v>
      </c>
      <c r="Q34" s="833" t="n">
        <f aca="false">Q120</f>
        <v>8836.97700328964</v>
      </c>
      <c r="R34" s="204"/>
    </row>
    <row r="35" customFormat="false" ht="12.75" hidden="true" customHeight="false" outlineLevel="1" collapsed="false">
      <c r="A35" s="146" t="s">
        <v>374</v>
      </c>
      <c r="D35" s="822" t="n">
        <f aca="false">D121</f>
        <v>0</v>
      </c>
      <c r="E35" s="822" t="n">
        <f aca="false">E121</f>
        <v>0</v>
      </c>
      <c r="F35" s="822" t="n">
        <f aca="false">F121</f>
        <v>0</v>
      </c>
      <c r="G35" s="822" t="n">
        <f aca="false">G121</f>
        <v>0</v>
      </c>
      <c r="H35" s="833" t="n">
        <f aca="false">H121</f>
        <v>0</v>
      </c>
      <c r="I35" s="833" t="n">
        <f aca="false">I121</f>
        <v>0</v>
      </c>
      <c r="J35" s="833" t="n">
        <f aca="false">J121</f>
        <v>0</v>
      </c>
      <c r="K35" s="833" t="n">
        <f aca="false">K121</f>
        <v>0</v>
      </c>
      <c r="L35" s="833" t="n">
        <f aca="false">L121</f>
        <v>0</v>
      </c>
      <c r="M35" s="833" t="n">
        <f aca="false">M121</f>
        <v>0</v>
      </c>
      <c r="N35" s="833" t="n">
        <f aca="false">N121</f>
        <v>0</v>
      </c>
      <c r="O35" s="833" t="n">
        <f aca="false">O121</f>
        <v>0</v>
      </c>
      <c r="P35" s="833" t="n">
        <f aca="false">P121</f>
        <v>0</v>
      </c>
      <c r="Q35" s="833" t="n">
        <f aca="false">Q121</f>
        <v>0</v>
      </c>
      <c r="R35" s="204"/>
    </row>
    <row r="36" customFormat="false" ht="12.75" hidden="true" customHeight="false" outlineLevel="1" collapsed="false">
      <c r="A36" s="146" t="s">
        <v>375</v>
      </c>
      <c r="D36" s="822" t="n">
        <f aca="false">D122</f>
        <v>0</v>
      </c>
      <c r="E36" s="822" t="n">
        <f aca="false">E122</f>
        <v>0</v>
      </c>
      <c r="F36" s="822" t="n">
        <f aca="false">F122</f>
        <v>0</v>
      </c>
      <c r="G36" s="822" t="n">
        <f aca="false">G122</f>
        <v>0</v>
      </c>
      <c r="H36" s="833" t="n">
        <f aca="false">H122</f>
        <v>0</v>
      </c>
      <c r="I36" s="833" t="n">
        <f aca="false">I122</f>
        <v>0</v>
      </c>
      <c r="J36" s="833" t="n">
        <f aca="false">J122</f>
        <v>0</v>
      </c>
      <c r="K36" s="833" t="n">
        <f aca="false">K122</f>
        <v>0</v>
      </c>
      <c r="L36" s="833" t="n">
        <f aca="false">L122</f>
        <v>0</v>
      </c>
      <c r="M36" s="833" t="n">
        <f aca="false">M122</f>
        <v>0</v>
      </c>
      <c r="N36" s="833" t="n">
        <f aca="false">N122</f>
        <v>0</v>
      </c>
      <c r="O36" s="833" t="n">
        <f aca="false">O122</f>
        <v>0</v>
      </c>
      <c r="P36" s="833" t="n">
        <f aca="false">P122</f>
        <v>0</v>
      </c>
      <c r="Q36" s="833" t="n">
        <f aca="false">Q122</f>
        <v>0</v>
      </c>
      <c r="R36" s="204"/>
    </row>
    <row r="37" customFormat="false" ht="12.75" hidden="false" customHeight="false" outlineLevel="0" collapsed="false">
      <c r="A37" s="386" t="s">
        <v>376</v>
      </c>
      <c r="D37" s="834" t="n">
        <f aca="false">SUM(D34:D36)</f>
        <v>24000</v>
      </c>
      <c r="E37" s="834" t="n">
        <f aca="false">SUM(E34:E36)</f>
        <v>6000</v>
      </c>
      <c r="F37" s="834" t="n">
        <f aca="false">SUM(F34:F36)</f>
        <v>8000</v>
      </c>
      <c r="G37" s="834" t="n">
        <f aca="false">SUM(G34:G36)</f>
        <v>8000</v>
      </c>
      <c r="H37" s="835" t="n">
        <f aca="false">SUM(H34:H36)</f>
        <v>8080</v>
      </c>
      <c r="I37" s="835" t="n">
        <f aca="false">SUM(I34:I36)</f>
        <v>8160.8</v>
      </c>
      <c r="J37" s="835" t="n">
        <f aca="false">SUM(J34:J36)</f>
        <v>8242.408</v>
      </c>
      <c r="K37" s="835" t="n">
        <f aca="false">SUM(K34:K36)</f>
        <v>8324.83208</v>
      </c>
      <c r="L37" s="835" t="n">
        <f aca="false">SUM(L34:L36)</f>
        <v>8408.0804008</v>
      </c>
      <c r="M37" s="835" t="n">
        <f aca="false">SUM(M34:M36)</f>
        <v>8492.161204808</v>
      </c>
      <c r="N37" s="835" t="n">
        <f aca="false">SUM(N34:N36)</f>
        <v>8577.08281685608</v>
      </c>
      <c r="O37" s="835" t="n">
        <f aca="false">SUM(O34:O36)</f>
        <v>8662.85364502464</v>
      </c>
      <c r="P37" s="835" t="n">
        <f aca="false">SUM(P34:P36)</f>
        <v>8749.48218147489</v>
      </c>
      <c r="Q37" s="835" t="n">
        <f aca="false">SUM(Q34:Q36)</f>
        <v>8836.97700328964</v>
      </c>
      <c r="R37" s="204"/>
    </row>
    <row r="38" customFormat="false" ht="12.75" hidden="false" customHeight="false" outlineLevel="0" collapsed="false">
      <c r="D38" s="822"/>
      <c r="E38" s="822"/>
      <c r="F38" s="822"/>
      <c r="G38" s="305"/>
      <c r="R38" s="204"/>
    </row>
    <row r="39" customFormat="false" ht="12.75" hidden="false" customHeight="false" outlineLevel="0" collapsed="false">
      <c r="A39" s="386" t="s">
        <v>377</v>
      </c>
      <c r="D39" s="822"/>
      <c r="E39" s="822"/>
      <c r="F39" s="822"/>
      <c r="G39" s="305"/>
      <c r="R39" s="204"/>
    </row>
    <row r="40" customFormat="false" ht="12.75" hidden="false" customHeight="false" outlineLevel="0" collapsed="false">
      <c r="A40" s="146" t="s">
        <v>378</v>
      </c>
      <c r="D40" s="822" t="n">
        <v>25000</v>
      </c>
      <c r="E40" s="822" t="n">
        <v>64000</v>
      </c>
      <c r="F40" s="822" t="n">
        <v>82000</v>
      </c>
      <c r="G40" s="823" t="n">
        <f aca="false">43000*2</f>
        <v>86000</v>
      </c>
      <c r="R40" s="204"/>
    </row>
    <row r="41" customFormat="false" ht="12.75" hidden="false" customHeight="false" outlineLevel="0" collapsed="false">
      <c r="A41" s="146" t="s">
        <v>379</v>
      </c>
      <c r="D41" s="822" t="n">
        <v>52000</v>
      </c>
      <c r="E41" s="822" t="n">
        <v>14000</v>
      </c>
      <c r="F41" s="822" t="n">
        <v>3000</v>
      </c>
      <c r="G41" s="823" t="n">
        <f aca="false">-1000*2</f>
        <v>-2000</v>
      </c>
      <c r="R41" s="204"/>
    </row>
    <row r="42" customFormat="false" ht="12.75" hidden="true" customHeight="false" outlineLevel="1" collapsed="false">
      <c r="A42" s="146" t="s">
        <v>380</v>
      </c>
      <c r="D42" s="822" t="n">
        <v>0</v>
      </c>
      <c r="E42" s="822" t="n">
        <v>0</v>
      </c>
      <c r="F42" s="822" t="n">
        <v>0</v>
      </c>
      <c r="G42" s="823" t="n">
        <v>0</v>
      </c>
      <c r="R42" s="204"/>
    </row>
    <row r="43" customFormat="false" ht="12.75" hidden="true" customHeight="false" outlineLevel="1" collapsed="false">
      <c r="A43" s="0" t="s">
        <v>381</v>
      </c>
      <c r="D43" s="822" t="n">
        <v>0</v>
      </c>
      <c r="E43" s="822" t="n">
        <v>0</v>
      </c>
      <c r="F43" s="822" t="n">
        <v>0</v>
      </c>
      <c r="G43" s="823" t="n">
        <v>0</v>
      </c>
      <c r="R43" s="204"/>
    </row>
    <row r="44" customFormat="false" ht="12.75" hidden="false" customHeight="false" outlineLevel="0" collapsed="false">
      <c r="A44" s="386" t="s">
        <v>382</v>
      </c>
      <c r="D44" s="830" t="n">
        <f aca="false">SUM(D40:D43)</f>
        <v>77000</v>
      </c>
      <c r="E44" s="830" t="n">
        <f aca="false">SUM(E40:E43)</f>
        <v>78000</v>
      </c>
      <c r="F44" s="830" t="n">
        <f aca="false">SUM(F40:F43)</f>
        <v>85000</v>
      </c>
      <c r="G44" s="830" t="n">
        <f aca="false">SUM(G40:G43)</f>
        <v>84000</v>
      </c>
      <c r="H44" s="173" t="n">
        <f aca="false">SUM(H40:H43)</f>
        <v>0</v>
      </c>
      <c r="I44" s="173" t="n">
        <f aca="false">SUM(I40:I43)</f>
        <v>0</v>
      </c>
      <c r="J44" s="173" t="n">
        <f aca="false">SUM(J40:J43)</f>
        <v>0</v>
      </c>
      <c r="K44" s="173" t="n">
        <f aca="false">SUM(K40:K43)</f>
        <v>0</v>
      </c>
      <c r="L44" s="173" t="n">
        <f aca="false">SUM(L40:L43)</f>
        <v>0</v>
      </c>
      <c r="M44" s="173" t="n">
        <f aca="false">SUM(M40:M43)</f>
        <v>0</v>
      </c>
      <c r="N44" s="173" t="n">
        <f aca="false">SUM(N40:N43)</f>
        <v>0</v>
      </c>
      <c r="O44" s="173" t="n">
        <f aca="false">SUM(O40:O43)</f>
        <v>0</v>
      </c>
      <c r="P44" s="173" t="n">
        <f aca="false">SUM(P40:P43)</f>
        <v>0</v>
      </c>
      <c r="Q44" s="173" t="n">
        <f aca="false">SUM(Q40:Q43)</f>
        <v>0</v>
      </c>
      <c r="R44" s="204"/>
    </row>
    <row r="45" customFormat="false" ht="12.75" hidden="false" customHeight="false" outlineLevel="0" collapsed="false">
      <c r="D45" s="305"/>
      <c r="E45" s="305"/>
      <c r="F45" s="305"/>
      <c r="G45" s="305"/>
      <c r="R45" s="204"/>
    </row>
    <row r="46" customFormat="false" ht="13.5" hidden="false" customHeight="false" outlineLevel="0" collapsed="false">
      <c r="A46" s="386" t="s">
        <v>383</v>
      </c>
      <c r="D46" s="831" t="n">
        <f aca="false">D31+D37-D44</f>
        <v>174000</v>
      </c>
      <c r="E46" s="831" t="n">
        <f aca="false">E31+E37-E44</f>
        <v>150000</v>
      </c>
      <c r="F46" s="831" t="n">
        <f aca="false">F31+F37-F44</f>
        <v>130000</v>
      </c>
      <c r="G46" s="831" t="n">
        <f aca="false">G31+G37-G44</f>
        <v>188000</v>
      </c>
      <c r="H46" s="832" t="n">
        <f aca="false">H31+H37-H44</f>
        <v>339570</v>
      </c>
      <c r="I46" s="832" t="n">
        <f aca="false">I31+I37-I44</f>
        <v>341107.35</v>
      </c>
      <c r="J46" s="832" t="n">
        <f aca="false">J31+J37-J44</f>
        <v>342610.47075</v>
      </c>
      <c r="K46" s="832" t="n">
        <f aca="false">K31+K37-K44</f>
        <v>344077.73554875</v>
      </c>
      <c r="L46" s="832" t="n">
        <f aca="false">L31+L37-L44</f>
        <v>345507.468987169</v>
      </c>
      <c r="M46" s="832" t="n">
        <f aca="false">M31+M37-M44</f>
        <v>346897.945660319</v>
      </c>
      <c r="N46" s="832" t="n">
        <f aca="false">N31+N37-N44</f>
        <v>348247.388847181</v>
      </c>
      <c r="O46" s="832" t="n">
        <f aca="false">O31+O37-O44</f>
        <v>349553.969157447</v>
      </c>
      <c r="P46" s="832" t="n">
        <f aca="false">P31+P37-P44</f>
        <v>350815.803144547</v>
      </c>
      <c r="Q46" s="832" t="n">
        <f aca="false">Q31+Q37-Q44</f>
        <v>352030.951884086</v>
      </c>
      <c r="R46" s="204"/>
    </row>
    <row r="47" customFormat="false" ht="13.5" hidden="false" customHeight="false" outlineLevel="0" collapsed="false">
      <c r="D47" s="305"/>
      <c r="E47" s="305"/>
      <c r="F47" s="305"/>
      <c r="G47" s="305"/>
      <c r="R47" s="204"/>
    </row>
    <row r="48" customFormat="false" ht="12.75" hidden="false" customHeight="false" outlineLevel="0" collapsed="false">
      <c r="A48" s="386" t="s">
        <v>224</v>
      </c>
      <c r="D48" s="305"/>
      <c r="E48" s="305"/>
      <c r="F48" s="305"/>
      <c r="G48" s="305"/>
      <c r="R48" s="204"/>
    </row>
    <row r="49" customFormat="false" ht="12.75" hidden="false" customHeight="false" outlineLevel="0" collapsed="false">
      <c r="A49" s="146" t="s">
        <v>384</v>
      </c>
      <c r="D49" s="822" t="n">
        <v>57000</v>
      </c>
      <c r="E49" s="822" t="n">
        <v>47000</v>
      </c>
      <c r="F49" s="822" t="n">
        <v>43000</v>
      </c>
      <c r="G49" s="823" t="n">
        <f aca="false">32000*2</f>
        <v>64000</v>
      </c>
      <c r="R49" s="204"/>
    </row>
    <row r="50" customFormat="false" ht="12.75" hidden="false" customHeight="false" outlineLevel="0" collapsed="false">
      <c r="A50" s="146" t="s">
        <v>385</v>
      </c>
      <c r="D50" s="822" t="n">
        <v>26000</v>
      </c>
      <c r="E50" s="822" t="n">
        <v>29000</v>
      </c>
      <c r="F50" s="822" t="n">
        <v>23000</v>
      </c>
      <c r="G50" s="823" t="n">
        <f aca="false">14000*2</f>
        <v>28000</v>
      </c>
      <c r="R50" s="204"/>
    </row>
    <row r="51" customFormat="false" ht="12.75" hidden="true" customHeight="false" outlineLevel="1" collapsed="false">
      <c r="A51" s="146" t="s">
        <v>386</v>
      </c>
      <c r="D51" s="822" t="n">
        <v>0</v>
      </c>
      <c r="E51" s="822" t="n">
        <v>0</v>
      </c>
      <c r="F51" s="822" t="n">
        <v>0</v>
      </c>
      <c r="G51" s="823" t="n">
        <v>0</v>
      </c>
      <c r="R51" s="204"/>
    </row>
    <row r="52" customFormat="false" ht="12.75" hidden="true" customHeight="false" outlineLevel="1" collapsed="false">
      <c r="A52" s="146" t="s">
        <v>387</v>
      </c>
      <c r="D52" s="822" t="n">
        <v>0</v>
      </c>
      <c r="E52" s="822" t="n">
        <v>0</v>
      </c>
      <c r="F52" s="822" t="n">
        <v>0</v>
      </c>
      <c r="G52" s="823" t="n">
        <v>0</v>
      </c>
      <c r="R52" s="204"/>
    </row>
    <row r="53" customFormat="false" ht="12.75" hidden="false" customHeight="false" outlineLevel="0" collapsed="false">
      <c r="A53" s="386" t="s">
        <v>174</v>
      </c>
      <c r="D53" s="334" t="n">
        <f aca="false">SUM(D49:D52)</f>
        <v>83000</v>
      </c>
      <c r="E53" s="334" t="n">
        <f aca="false">SUM(E49:E52)</f>
        <v>76000</v>
      </c>
      <c r="F53" s="334" t="n">
        <f aca="false">SUM(F49:F52)</f>
        <v>66000</v>
      </c>
      <c r="G53" s="334" t="n">
        <f aca="false">SUM(G49:G52)</f>
        <v>92000</v>
      </c>
      <c r="H53" s="335" t="n">
        <f aca="false">SUM(H49:H52)</f>
        <v>0</v>
      </c>
      <c r="I53" s="335" t="n">
        <f aca="false">SUM(I49:I52)</f>
        <v>0</v>
      </c>
      <c r="J53" s="335" t="n">
        <f aca="false">SUM(J49:J52)</f>
        <v>0</v>
      </c>
      <c r="K53" s="335" t="n">
        <f aca="false">SUM(K49:K52)</f>
        <v>0</v>
      </c>
      <c r="L53" s="335" t="n">
        <f aca="false">SUM(L49:L52)</f>
        <v>0</v>
      </c>
      <c r="M53" s="335" t="n">
        <f aca="false">SUM(M49:M52)</f>
        <v>0</v>
      </c>
      <c r="N53" s="335" t="n">
        <f aca="false">SUM(N49:N52)</f>
        <v>0</v>
      </c>
      <c r="O53" s="335" t="n">
        <f aca="false">SUM(O49:O52)</f>
        <v>0</v>
      </c>
      <c r="P53" s="335" t="n">
        <f aca="false">SUM(P49:P52)</f>
        <v>0</v>
      </c>
      <c r="Q53" s="335" t="n">
        <f aca="false">SUM(Q49:Q52)</f>
        <v>0</v>
      </c>
      <c r="R53" s="204"/>
    </row>
    <row r="54" customFormat="false" ht="12.75" hidden="false" customHeight="false" outlineLevel="0" collapsed="false">
      <c r="D54" s="305"/>
      <c r="E54" s="305"/>
      <c r="F54" s="305"/>
      <c r="G54" s="305"/>
      <c r="R54" s="204"/>
    </row>
    <row r="55" customFormat="false" ht="13.5" hidden="false" customHeight="false" outlineLevel="0" collapsed="false">
      <c r="A55" s="386" t="s">
        <v>204</v>
      </c>
      <c r="D55" s="831" t="n">
        <f aca="false">D46-D53</f>
        <v>91000</v>
      </c>
      <c r="E55" s="831" t="n">
        <f aca="false">E46-E53</f>
        <v>74000</v>
      </c>
      <c r="F55" s="831" t="n">
        <f aca="false">F46-F53</f>
        <v>64000</v>
      </c>
      <c r="G55" s="831" t="n">
        <f aca="false">G46-G53</f>
        <v>96000</v>
      </c>
      <c r="H55" s="832" t="n">
        <f aca="false">H46-H53</f>
        <v>339570</v>
      </c>
      <c r="I55" s="832" t="n">
        <f aca="false">I46-I53</f>
        <v>341107.35</v>
      </c>
      <c r="J55" s="832" t="n">
        <f aca="false">J46-J53</f>
        <v>342610.47075</v>
      </c>
      <c r="K55" s="832" t="n">
        <f aca="false">K46-K53</f>
        <v>344077.73554875</v>
      </c>
      <c r="L55" s="832" t="n">
        <f aca="false">L46-L53</f>
        <v>345507.468987169</v>
      </c>
      <c r="M55" s="832" t="n">
        <f aca="false">M46-M53</f>
        <v>346897.945660319</v>
      </c>
      <c r="N55" s="832" t="n">
        <f aca="false">N46-N53</f>
        <v>348247.388847181</v>
      </c>
      <c r="O55" s="832" t="n">
        <f aca="false">O46-O53</f>
        <v>349553.969157447</v>
      </c>
      <c r="P55" s="832" t="n">
        <f aca="false">P46-P53</f>
        <v>350815.803144547</v>
      </c>
      <c r="Q55" s="832" t="n">
        <f aca="false">Q46-Q53</f>
        <v>352030.951884086</v>
      </c>
      <c r="R55" s="204"/>
    </row>
    <row r="56" customFormat="false" ht="13.5" hidden="false" customHeight="false" outlineLevel="0" collapsed="false">
      <c r="G56" s="204"/>
      <c r="R56" s="204"/>
    </row>
    <row r="57" customFormat="false" ht="12.75" hidden="false" customHeight="false" outlineLevel="0" collapsed="false">
      <c r="A57" s="341"/>
      <c r="B57" s="16"/>
      <c r="C57" s="1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87"/>
    </row>
    <row r="58" customFormat="false" ht="15.75" hidden="false" customHeight="false" outlineLevel="0" collapsed="false">
      <c r="A58" s="284" t="s">
        <v>388</v>
      </c>
      <c r="B58" s="285"/>
      <c r="C58" s="85"/>
      <c r="D58" s="286"/>
      <c r="E58" s="286"/>
      <c r="F58" s="85"/>
      <c r="G58" s="287"/>
      <c r="H58" s="287"/>
      <c r="I58" s="287"/>
      <c r="J58" s="85"/>
      <c r="K58" s="85"/>
      <c r="L58" s="85"/>
      <c r="M58" s="85"/>
      <c r="N58" s="85"/>
      <c r="O58" s="85"/>
      <c r="P58" s="85"/>
      <c r="Q58" s="85"/>
      <c r="R58" s="187"/>
    </row>
    <row r="59" customFormat="false" ht="12.75" hidden="false" customHeight="false" outlineLevel="0" collapsed="false">
      <c r="A59" s="341"/>
      <c r="C59" s="16"/>
      <c r="D59" s="292"/>
      <c r="E59" s="292"/>
      <c r="F59" s="293"/>
      <c r="G59" s="294" t="s">
        <v>156</v>
      </c>
      <c r="H59" s="295"/>
      <c r="I59" s="293"/>
      <c r="J59" s="293"/>
      <c r="K59" s="296"/>
      <c r="L59" s="293"/>
      <c r="M59" s="296"/>
      <c r="N59" s="296"/>
      <c r="O59" s="296"/>
      <c r="P59" s="296"/>
      <c r="Q59" s="75"/>
      <c r="R59" s="187"/>
    </row>
    <row r="60" customFormat="false" ht="12.75" hidden="false" customHeight="false" outlineLevel="0" collapsed="false">
      <c r="A60" s="341"/>
      <c r="C60" s="16"/>
      <c r="D60" s="297" t="n">
        <v>1998</v>
      </c>
      <c r="E60" s="297" t="n">
        <v>1999</v>
      </c>
      <c r="F60" s="297" t="n">
        <v>2000</v>
      </c>
      <c r="G60" s="297" t="n">
        <v>2001</v>
      </c>
      <c r="H60" s="298" t="n">
        <v>2002</v>
      </c>
      <c r="I60" s="298" t="n">
        <v>2003</v>
      </c>
      <c r="J60" s="298" t="n">
        <v>2004</v>
      </c>
      <c r="K60" s="298" t="n">
        <v>2005</v>
      </c>
      <c r="L60" s="298" t="n">
        <v>2006</v>
      </c>
      <c r="M60" s="299" t="n">
        <v>2007</v>
      </c>
      <c r="N60" s="299" t="n">
        <v>2008</v>
      </c>
      <c r="O60" s="299" t="n">
        <v>2009</v>
      </c>
      <c r="P60" s="299" t="n">
        <v>2010</v>
      </c>
      <c r="Q60" s="300" t="n">
        <v>2011</v>
      </c>
      <c r="R60" s="187"/>
    </row>
    <row r="61" customFormat="false" ht="12.75" hidden="false" customHeight="false" outlineLevel="0" collapsed="false">
      <c r="A61" s="341"/>
      <c r="C61" s="16"/>
      <c r="F61" s="301" t="s">
        <v>157</v>
      </c>
      <c r="G61" s="297" t="n">
        <v>1</v>
      </c>
      <c r="H61" s="298" t="n">
        <v>2</v>
      </c>
      <c r="I61" s="298" t="n">
        <v>3</v>
      </c>
      <c r="J61" s="298" t="n">
        <v>4</v>
      </c>
      <c r="K61" s="298" t="n">
        <v>5</v>
      </c>
      <c r="L61" s="298" t="n">
        <v>6</v>
      </c>
      <c r="M61" s="298" t="n">
        <v>7</v>
      </c>
      <c r="N61" s="298" t="n">
        <v>8</v>
      </c>
      <c r="O61" s="298" t="n">
        <v>9</v>
      </c>
      <c r="P61" s="298" t="n">
        <v>10</v>
      </c>
      <c r="Q61" s="302" t="n">
        <v>11</v>
      </c>
      <c r="R61" s="187"/>
    </row>
    <row r="62" customFormat="false" ht="12.75" hidden="false" customHeight="false" outlineLevel="0" collapsed="false">
      <c r="A62" s="386" t="s">
        <v>389</v>
      </c>
      <c r="C62" s="16"/>
      <c r="F62" s="301"/>
      <c r="G62" s="413"/>
      <c r="H62" s="795"/>
      <c r="I62" s="795"/>
      <c r="J62" s="795"/>
      <c r="K62" s="795"/>
      <c r="L62" s="795"/>
      <c r="M62" s="795"/>
      <c r="N62" s="795"/>
      <c r="O62" s="795"/>
      <c r="P62" s="795"/>
      <c r="Q62" s="597"/>
      <c r="R62" s="187"/>
    </row>
    <row r="63" customFormat="false" ht="12.75" hidden="false" customHeight="false" outlineLevel="0" collapsed="false">
      <c r="A63" s="0" t="s">
        <v>390</v>
      </c>
      <c r="C63" s="16"/>
      <c r="D63" s="457"/>
      <c r="E63" s="836" t="n">
        <f aca="false">(E17/D17)-1</f>
        <v>-0.0504032258064516</v>
      </c>
      <c r="F63" s="836" t="n">
        <f aca="false">(F17/E17)-1</f>
        <v>0.0254777070063694</v>
      </c>
      <c r="G63" s="836" t="n">
        <f aca="false">(G17/F17)-1</f>
        <v>0.118012422360248</v>
      </c>
      <c r="H63" s="673" t="n">
        <f aca="false">(H17/G17)-1</f>
        <v>0.0124814814814815</v>
      </c>
      <c r="I63" s="673" t="n">
        <f aca="false">(I17/H17)-1</f>
        <v>0.0125064930314225</v>
      </c>
      <c r="J63" s="673" t="n">
        <f aca="false">(J17/I17)-1</f>
        <v>0.0125317416991797</v>
      </c>
      <c r="K63" s="673" t="n">
        <f aca="false">(K17/J17)-1</f>
        <v>0.0125572291903346</v>
      </c>
      <c r="L63" s="673" t="n">
        <f aca="false">(L17/K17)-1</f>
        <v>0.0125829572066476</v>
      </c>
      <c r="M63" s="673" t="n">
        <f aca="false">(M17/L17)-1</f>
        <v>0.0126089274455317</v>
      </c>
      <c r="N63" s="673" t="n">
        <f aca="false">(N17/M17)-1</f>
        <v>0.0126351415995158</v>
      </c>
      <c r="O63" s="673" t="n">
        <f aca="false">(O17/N17)-1</f>
        <v>0.0126616013557008</v>
      </c>
      <c r="P63" s="673" t="n">
        <f aca="false">(P17/O17)-1</f>
        <v>0.0126883083951952</v>
      </c>
      <c r="Q63" s="673" t="n">
        <f aca="false">(Q17/P17)-1</f>
        <v>0.0127152643925454</v>
      </c>
      <c r="R63" s="187"/>
    </row>
    <row r="64" customFormat="false" ht="12.75" hidden="false" customHeight="false" outlineLevel="0" collapsed="false">
      <c r="A64" s="0" t="s">
        <v>391</v>
      </c>
      <c r="C64" s="16"/>
      <c r="D64" s="457"/>
      <c r="E64" s="836" t="n">
        <f aca="false">(E27/D27)-1</f>
        <v>-0.0106007067137809</v>
      </c>
      <c r="F64" s="836" t="n">
        <f aca="false">(F27/E27)-1</f>
        <v>-0.0285714285714286</v>
      </c>
      <c r="G64" s="836" t="n">
        <f aca="false">(G27/F27)-1</f>
        <v>0.213235294117647</v>
      </c>
      <c r="H64" s="673" t="n">
        <f aca="false">(H27/G27)-1</f>
        <v>0.00451515151515158</v>
      </c>
      <c r="I64" s="673" t="n">
        <f aca="false">(I27/H27)-1</f>
        <v>0.00439394853540076</v>
      </c>
      <c r="J64" s="673" t="n">
        <f aca="false">(J27/I27)-1</f>
        <v>0.00426949235545515</v>
      </c>
      <c r="K64" s="673" t="n">
        <f aca="false">(K27/J27)-1</f>
        <v>0.00414166564641505</v>
      </c>
      <c r="L64" s="673" t="n">
        <f aca="false">(L27/K27)-1</f>
        <v>0.00401034541684608</v>
      </c>
      <c r="M64" s="673" t="n">
        <f aca="false">(M27/L27)-1</f>
        <v>0.00387540266572639</v>
      </c>
      <c r="N64" s="673" t="n">
        <f aca="false">(N27/M27)-1</f>
        <v>0.00373670200953646</v>
      </c>
      <c r="O64" s="673" t="n">
        <f aca="false">(O27/N27)-1</f>
        <v>0.00359410128122528</v>
      </c>
      <c r="P64" s="673" t="n">
        <f aca="false">(P27/O27)-1</f>
        <v>0.00344745109852207</v>
      </c>
      <c r="Q64" s="673" t="n">
        <f aca="false">(Q27/P27)-1</f>
        <v>0.00329659439885521</v>
      </c>
      <c r="R64" s="187"/>
    </row>
    <row r="65" customFormat="false" ht="12.75" hidden="false" customHeight="false" outlineLevel="0" collapsed="false">
      <c r="A65" s="0" t="s">
        <v>392</v>
      </c>
      <c r="C65" s="53"/>
      <c r="D65" s="305"/>
      <c r="E65" s="837" t="n">
        <f aca="false">(E31/D31)-1</f>
        <v>-0.0220264317180616</v>
      </c>
      <c r="F65" s="837" t="n">
        <f aca="false">(F31/E31)-1</f>
        <v>-0.0675675675675675</v>
      </c>
      <c r="G65" s="837" t="n">
        <f aca="false">(G31/F31)-1</f>
        <v>0.27536231884058</v>
      </c>
      <c r="H65" s="669" t="n">
        <f aca="false">(H31/G31)-1</f>
        <v>0.255643939393939</v>
      </c>
      <c r="I65" s="669" t="n">
        <f aca="false">(I31/H31)-1</f>
        <v>0.00439394853540076</v>
      </c>
      <c r="J65" s="669" t="n">
        <f aca="false">(J31/I31)-1</f>
        <v>0.00426949235545515</v>
      </c>
      <c r="K65" s="669" t="n">
        <f aca="false">(K31/J31)-1</f>
        <v>0.00414166564641505</v>
      </c>
      <c r="L65" s="669" t="n">
        <f aca="false">(L31/K31)-1</f>
        <v>0.00401034541684608</v>
      </c>
      <c r="M65" s="669" t="n">
        <f aca="false">(M31/L31)-1</f>
        <v>0.00387540266572639</v>
      </c>
      <c r="N65" s="669" t="n">
        <f aca="false">(N31/M31)-1</f>
        <v>0.00373670200953646</v>
      </c>
      <c r="O65" s="669" t="n">
        <f aca="false">(O31/N31)-1</f>
        <v>0.00359410128122528</v>
      </c>
      <c r="P65" s="669" t="n">
        <f aca="false">(P31/O31)-1</f>
        <v>0.00344745109852207</v>
      </c>
      <c r="Q65" s="669" t="n">
        <f aca="false">(Q31/P31)-1</f>
        <v>0.00329659439885521</v>
      </c>
      <c r="R65" s="838"/>
    </row>
    <row r="66" customFormat="false" ht="12.75" hidden="false" customHeight="false" outlineLevel="0" collapsed="false">
      <c r="C66" s="53"/>
      <c r="D66" s="322"/>
      <c r="E66" s="322"/>
      <c r="F66" s="322"/>
      <c r="G66" s="322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838"/>
    </row>
    <row r="67" customFormat="false" ht="12.75" hidden="false" customHeight="false" outlineLevel="0" collapsed="false">
      <c r="A67" s="386" t="s">
        <v>393</v>
      </c>
      <c r="C67" s="53"/>
      <c r="D67" s="322"/>
      <c r="E67" s="322"/>
      <c r="F67" s="322"/>
      <c r="G67" s="322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838"/>
    </row>
    <row r="68" customFormat="false" ht="12.75" hidden="false" customHeight="false" outlineLevel="0" collapsed="false">
      <c r="A68" s="0" t="s">
        <v>394</v>
      </c>
      <c r="B68" s="53"/>
      <c r="C68" s="53"/>
      <c r="D68" s="836" t="n">
        <f aca="false">D27/D17</f>
        <v>0.570564516129032</v>
      </c>
      <c r="E68" s="836" t="n">
        <f aca="false">E27/E17</f>
        <v>0.59447983014862</v>
      </c>
      <c r="F68" s="836" t="n">
        <f aca="false">F27/F17</f>
        <v>0.563146997929607</v>
      </c>
      <c r="G68" s="836" t="n">
        <f aca="false">G27/G17</f>
        <v>0.611111111111111</v>
      </c>
      <c r="H68" s="673" t="n">
        <f aca="false">H27/H17</f>
        <v>0.606302813037276</v>
      </c>
      <c r="I68" s="673" t="n">
        <f aca="false">I27/I17</f>
        <v>0.601444909821167</v>
      </c>
      <c r="J68" s="673" t="n">
        <f aca="false">J27/J17</f>
        <v>0.59653712510015</v>
      </c>
      <c r="K68" s="673" t="n">
        <f aca="false">K27/K17</f>
        <v>0.591579186982813</v>
      </c>
      <c r="L68" s="673" t="n">
        <f aca="false">L27/L17</f>
        <v>0.586570828233699</v>
      </c>
      <c r="M68" s="673" t="n">
        <f aca="false">M27/M17</f>
        <v>0.581511786460866</v>
      </c>
      <c r="N68" s="673" t="n">
        <f aca="false">N27/N17</f>
        <v>0.576401804306277</v>
      </c>
      <c r="O68" s="673" t="n">
        <f aca="false">O27/O17</f>
        <v>0.571240629638967</v>
      </c>
      <c r="P68" s="673" t="n">
        <f aca="false">P27/P17</f>
        <v>0.566028015750968</v>
      </c>
      <c r="Q68" s="673" t="n">
        <f aca="false">Q27/Q17</f>
        <v>0.560763721555956</v>
      </c>
    </row>
    <row r="69" customFormat="false" ht="12.75" hidden="false" customHeight="false" outlineLevel="0" collapsed="false">
      <c r="A69" s="839" t="s">
        <v>395</v>
      </c>
      <c r="B69" s="53"/>
      <c r="C69" s="53"/>
      <c r="D69" s="836" t="n">
        <f aca="false">D31/D17</f>
        <v>0.457661290322581</v>
      </c>
      <c r="E69" s="836" t="n">
        <f aca="false">E31/E17</f>
        <v>0.471337579617834</v>
      </c>
      <c r="F69" s="836" t="n">
        <f aca="false">F31/F17</f>
        <v>0.428571428571429</v>
      </c>
      <c r="G69" s="836" t="n">
        <f aca="false">G31/G17</f>
        <v>0.488888888888889</v>
      </c>
      <c r="H69" s="673" t="n">
        <f aca="false">H31/H17</f>
        <v>0.606302813037276</v>
      </c>
      <c r="I69" s="673" t="n">
        <f aca="false">I31/I17</f>
        <v>0.601444909821167</v>
      </c>
      <c r="J69" s="673" t="n">
        <f aca="false">J31/J17</f>
        <v>0.59653712510015</v>
      </c>
      <c r="K69" s="673" t="n">
        <f aca="false">K31/K17</f>
        <v>0.591579186982813</v>
      </c>
      <c r="L69" s="673" t="n">
        <f aca="false">L31/L17</f>
        <v>0.586570828233699</v>
      </c>
      <c r="M69" s="673" t="n">
        <f aca="false">M31/M17</f>
        <v>0.581511786460866</v>
      </c>
      <c r="N69" s="673" t="n">
        <f aca="false">N31/N17</f>
        <v>0.576401804306277</v>
      </c>
      <c r="O69" s="673" t="n">
        <f aca="false">O31/O17</f>
        <v>0.571240629638967</v>
      </c>
      <c r="P69" s="673" t="n">
        <f aca="false">P31/P17</f>
        <v>0.566028015750968</v>
      </c>
      <c r="Q69" s="673" t="n">
        <f aca="false">Q31/Q17</f>
        <v>0.560763721555956</v>
      </c>
    </row>
    <row r="70" customFormat="false" ht="12.75" hidden="false" customHeight="false" outlineLevel="0" collapsed="false">
      <c r="A70" s="839" t="s">
        <v>396</v>
      </c>
      <c r="B70" s="53"/>
      <c r="C70" s="53"/>
      <c r="D70" s="840" t="n">
        <f aca="false">D17/D25</f>
        <v>2.32863849765258</v>
      </c>
      <c r="E70" s="840" t="n">
        <f aca="false">E17/E25</f>
        <v>2.46596858638743</v>
      </c>
      <c r="F70" s="840" t="n">
        <f aca="false">F17/F25</f>
        <v>2.28909952606635</v>
      </c>
      <c r="G70" s="840" t="n">
        <f aca="false">G17/G25</f>
        <v>2.57142857142857</v>
      </c>
      <c r="H70" s="841" t="n">
        <f aca="false">H17/H25</f>
        <v>2.54002322880372</v>
      </c>
      <c r="I70" s="841" t="n">
        <f aca="false">I17/I25</f>
        <v>2.50906342596527</v>
      </c>
      <c r="J70" s="841" t="n">
        <f aca="false">J17/J25</f>
        <v>2.47854279095251</v>
      </c>
      <c r="K70" s="841" t="n">
        <f aca="false">K17/K25</f>
        <v>2.44845504471859</v>
      </c>
      <c r="L70" s="841" t="n">
        <f aca="false">L17/L25</f>
        <v>2.41879399977433</v>
      </c>
      <c r="M70" s="841" t="n">
        <f aca="false">M17/M25</f>
        <v>2.38955355885187</v>
      </c>
      <c r="N70" s="841" t="n">
        <f aca="false">N17/N25</f>
        <v>2.3607277135879</v>
      </c>
      <c r="O70" s="841" t="n">
        <f aca="false">O17/O25</f>
        <v>2.33231054322605</v>
      </c>
      <c r="P70" s="841" t="n">
        <f aca="false">P17/P25</f>
        <v>2.30429621333841</v>
      </c>
      <c r="Q70" s="841" t="n">
        <f aca="false">Q17/Q25</f>
        <v>2.27667897456561</v>
      </c>
    </row>
    <row r="71" customFormat="false" ht="12.75" hidden="false" customHeight="false" outlineLevel="0" collapsed="false">
      <c r="A71" s="461"/>
      <c r="B71" s="53"/>
      <c r="C71" s="53"/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463"/>
      <c r="O71" s="463"/>
      <c r="P71" s="463"/>
      <c r="Q71" s="463"/>
    </row>
    <row r="72" customFormat="false" ht="12.75" hidden="false" customHeight="false" outlineLevel="0" collapsed="false">
      <c r="A72" s="461"/>
      <c r="B72" s="53"/>
      <c r="C72" s="5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3"/>
      <c r="O72" s="463"/>
      <c r="P72" s="463"/>
      <c r="Q72" s="463"/>
    </row>
    <row r="73" customFormat="false" ht="15.75" hidden="false" customHeight="false" outlineLevel="0" collapsed="false">
      <c r="A73" s="284" t="s">
        <v>232</v>
      </c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204"/>
    </row>
    <row r="74" customFormat="false" ht="12.75" hidden="false" customHeight="false" outlineLevel="0" collapsed="false">
      <c r="D74" s="292"/>
      <c r="E74" s="292"/>
      <c r="F74" s="293"/>
      <c r="G74" s="294" t="s">
        <v>156</v>
      </c>
      <c r="H74" s="295"/>
      <c r="I74" s="293"/>
      <c r="J74" s="293"/>
      <c r="K74" s="296"/>
      <c r="L74" s="293"/>
      <c r="M74" s="296"/>
      <c r="N74" s="296"/>
      <c r="O74" s="296"/>
      <c r="P74" s="296"/>
      <c r="Q74" s="75"/>
      <c r="R74" s="204"/>
    </row>
    <row r="75" customFormat="false" ht="12.75" hidden="false" customHeight="false" outlineLevel="0" collapsed="false">
      <c r="D75" s="297" t="n">
        <v>1998</v>
      </c>
      <c r="E75" s="297" t="n">
        <v>1999</v>
      </c>
      <c r="F75" s="297" t="n">
        <v>2000</v>
      </c>
      <c r="G75" s="297" t="n">
        <v>2001</v>
      </c>
      <c r="H75" s="298" t="n">
        <v>2002</v>
      </c>
      <c r="I75" s="298" t="n">
        <v>2003</v>
      </c>
      <c r="J75" s="298" t="n">
        <v>2004</v>
      </c>
      <c r="K75" s="298" t="n">
        <v>2005</v>
      </c>
      <c r="L75" s="298" t="n">
        <v>2006</v>
      </c>
      <c r="M75" s="299" t="n">
        <v>2007</v>
      </c>
      <c r="N75" s="299" t="n">
        <v>2008</v>
      </c>
      <c r="O75" s="299" t="n">
        <v>2009</v>
      </c>
      <c r="P75" s="299" t="n">
        <v>2010</v>
      </c>
      <c r="Q75" s="414" t="n">
        <v>2011</v>
      </c>
      <c r="R75" s="204"/>
    </row>
    <row r="76" customFormat="false" ht="12.75" hidden="false" customHeight="false" outlineLevel="0" collapsed="false">
      <c r="D76" s="413"/>
      <c r="E76" s="413"/>
      <c r="F76" s="301" t="s">
        <v>157</v>
      </c>
      <c r="G76" s="297" t="n">
        <v>1</v>
      </c>
      <c r="H76" s="298" t="n">
        <v>2</v>
      </c>
      <c r="I76" s="298" t="n">
        <v>3</v>
      </c>
      <c r="J76" s="298" t="n">
        <v>4</v>
      </c>
      <c r="K76" s="298" t="n">
        <v>5</v>
      </c>
      <c r="L76" s="298" t="n">
        <v>6</v>
      </c>
      <c r="M76" s="298" t="n">
        <v>7</v>
      </c>
      <c r="N76" s="298" t="n">
        <v>8</v>
      </c>
      <c r="O76" s="298" t="n">
        <v>9</v>
      </c>
      <c r="P76" s="298" t="n">
        <v>10</v>
      </c>
      <c r="Q76" s="302" t="n">
        <v>11</v>
      </c>
      <c r="R76" s="204"/>
    </row>
    <row r="77" customFormat="false" ht="12.75" hidden="false" customHeight="false" outlineLevel="0" collapsed="false">
      <c r="A77" s="386" t="s">
        <v>368</v>
      </c>
      <c r="B77" s="304" t="s">
        <v>159</v>
      </c>
      <c r="C77" s="509"/>
      <c r="F77" s="340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204"/>
    </row>
    <row r="78" customFormat="false" ht="12.75" hidden="false" customHeight="false" outlineLevel="0" collapsed="false">
      <c r="A78" s="550" t="s">
        <v>397</v>
      </c>
      <c r="B78" s="842" t="n">
        <v>1</v>
      </c>
      <c r="C78" s="509"/>
      <c r="D78" s="822" t="n">
        <v>468000</v>
      </c>
      <c r="E78" s="822" t="n">
        <v>441000</v>
      </c>
      <c r="F78" s="822" t="n">
        <v>425000</v>
      </c>
      <c r="G78" s="823" t="n">
        <f aca="false">212000*2</f>
        <v>424000</v>
      </c>
      <c r="H78" s="824" t="n">
        <f aca="false">G78*H87*$B$78</f>
        <v>428240</v>
      </c>
      <c r="I78" s="824" t="n">
        <f aca="false">H78*I87*$B$78</f>
        <v>432522.4</v>
      </c>
      <c r="J78" s="824" t="n">
        <f aca="false">I78*J87*$B$78</f>
        <v>436847.624</v>
      </c>
      <c r="K78" s="824" t="n">
        <f aca="false">J78*K87*$B$78</f>
        <v>441216.10024</v>
      </c>
      <c r="L78" s="824" t="n">
        <f aca="false">K78*L87*$B$78</f>
        <v>445628.2612424</v>
      </c>
      <c r="M78" s="824" t="n">
        <f aca="false">L78*M87*$B$78</f>
        <v>450084.543854824</v>
      </c>
      <c r="N78" s="824" t="n">
        <f aca="false">M78*N87*$B$78</f>
        <v>454585.389293372</v>
      </c>
      <c r="O78" s="824" t="n">
        <f aca="false">N78*O87*$B$78</f>
        <v>459131.243186306</v>
      </c>
      <c r="P78" s="824" t="n">
        <f aca="false">O78*P87*$B$78</f>
        <v>463722.555618169</v>
      </c>
      <c r="Q78" s="824" t="n">
        <f aca="false">P78*Q87*$B$78</f>
        <v>468359.781174351</v>
      </c>
      <c r="R78" s="204"/>
    </row>
    <row r="79" customFormat="false" ht="12.75" hidden="false" customHeight="false" outlineLevel="0" collapsed="false">
      <c r="A79" s="550" t="s">
        <v>398</v>
      </c>
      <c r="B79" s="842" t="n">
        <v>1</v>
      </c>
      <c r="C79" s="509"/>
      <c r="D79" s="822" t="n">
        <v>0</v>
      </c>
      <c r="E79" s="822" t="n">
        <v>0</v>
      </c>
      <c r="F79" s="822" t="n">
        <v>0</v>
      </c>
      <c r="G79" s="823" t="n">
        <f aca="false">49000*2</f>
        <v>98000</v>
      </c>
      <c r="H79" s="824" t="n">
        <f aca="false">G79*H88*$B$79</f>
        <v>99960</v>
      </c>
      <c r="I79" s="824" t="n">
        <f aca="false">H79*I88*$B$79</f>
        <v>101959.2</v>
      </c>
      <c r="J79" s="824" t="n">
        <f aca="false">I79*J88*$B$79</f>
        <v>103998.384</v>
      </c>
      <c r="K79" s="824" t="n">
        <f aca="false">J79*K88*$B$79</f>
        <v>106078.35168</v>
      </c>
      <c r="L79" s="824" t="n">
        <f aca="false">K79*L88*$B$79</f>
        <v>108199.9187136</v>
      </c>
      <c r="M79" s="824" t="n">
        <f aca="false">L79*M88*$B$79</f>
        <v>110363.917087872</v>
      </c>
      <c r="N79" s="824" t="n">
        <f aca="false">M79*N88*$B$79</f>
        <v>112571.195429629</v>
      </c>
      <c r="O79" s="824" t="n">
        <f aca="false">N79*O88*$B$79</f>
        <v>114822.619338222</v>
      </c>
      <c r="P79" s="824" t="n">
        <f aca="false">O79*P88*$B$79</f>
        <v>117119.071724987</v>
      </c>
      <c r="Q79" s="824" t="n">
        <f aca="false">P79*Q88*$B$79</f>
        <v>119461.453159486</v>
      </c>
      <c r="R79" s="204"/>
    </row>
    <row r="80" customFormat="false" ht="12.75" hidden="false" customHeight="false" outlineLevel="0" collapsed="false">
      <c r="A80" s="550" t="s">
        <v>240</v>
      </c>
      <c r="B80" s="842" t="n">
        <v>1</v>
      </c>
      <c r="C80" s="509"/>
      <c r="D80" s="822" t="n">
        <v>28000</v>
      </c>
      <c r="E80" s="822" t="n">
        <v>30000</v>
      </c>
      <c r="F80" s="822" t="n">
        <v>58000</v>
      </c>
      <c r="G80" s="823" t="n">
        <f aca="false">9000*2</f>
        <v>18000</v>
      </c>
      <c r="H80" s="824" t="n">
        <f aca="false">G80*H89*$B$80</f>
        <v>18540</v>
      </c>
      <c r="I80" s="824" t="n">
        <f aca="false">H80*I89*$B$80</f>
        <v>19096.2</v>
      </c>
      <c r="J80" s="824" t="n">
        <f aca="false">I80*J89*$B$80</f>
        <v>19669.086</v>
      </c>
      <c r="K80" s="824" t="n">
        <f aca="false">J80*K89*$B$80</f>
        <v>20259.15858</v>
      </c>
      <c r="L80" s="824" t="n">
        <f aca="false">K80*L89*$B$80</f>
        <v>20866.9333374</v>
      </c>
      <c r="M80" s="824" t="n">
        <f aca="false">L80*M89*$B$80</f>
        <v>21492.941337522</v>
      </c>
      <c r="N80" s="824" t="n">
        <f aca="false">M80*N89*$B$80</f>
        <v>22137.7295776477</v>
      </c>
      <c r="O80" s="824" t="n">
        <f aca="false">N80*O89*$B$80</f>
        <v>22801.8614649771</v>
      </c>
      <c r="P80" s="824" t="n">
        <f aca="false">O80*P89*$B$80</f>
        <v>23485.9173089264</v>
      </c>
      <c r="Q80" s="824" t="n">
        <f aca="false">P80*Q89*$B$80</f>
        <v>24190.4948281942</v>
      </c>
      <c r="R80" s="204"/>
    </row>
    <row r="81" customFormat="false" ht="12.75" hidden="false" customHeight="false" outlineLevel="0" collapsed="false">
      <c r="A81" s="550" t="s">
        <v>399</v>
      </c>
      <c r="B81" s="842" t="n">
        <v>0</v>
      </c>
      <c r="C81" s="509"/>
      <c r="D81" s="822" t="n">
        <v>0</v>
      </c>
      <c r="E81" s="822" t="n">
        <v>0</v>
      </c>
      <c r="F81" s="822" t="n">
        <v>0</v>
      </c>
      <c r="G81" s="823" t="n">
        <v>0</v>
      </c>
      <c r="H81" s="824" t="n">
        <f aca="false">G81*H90*$B$81</f>
        <v>0</v>
      </c>
      <c r="I81" s="824" t="n">
        <f aca="false">H81*I90*$B$81</f>
        <v>0</v>
      </c>
      <c r="J81" s="824" t="n">
        <f aca="false">I81*J90*$B$81</f>
        <v>0</v>
      </c>
      <c r="K81" s="824" t="n">
        <f aca="false">J81*K90*$B$81</f>
        <v>0</v>
      </c>
      <c r="L81" s="824" t="n">
        <f aca="false">K81*L90*$B$81</f>
        <v>0</v>
      </c>
      <c r="M81" s="824" t="n">
        <f aca="false">L81*M90*$B$81</f>
        <v>0</v>
      </c>
      <c r="N81" s="824" t="n">
        <f aca="false">M81*N90*$B$81</f>
        <v>0</v>
      </c>
      <c r="O81" s="824" t="n">
        <f aca="false">N81*O90*$B$81</f>
        <v>0</v>
      </c>
      <c r="P81" s="824" t="n">
        <f aca="false">O81*P90*$B$81</f>
        <v>0</v>
      </c>
      <c r="Q81" s="824" t="n">
        <f aca="false">P81*Q90*$B$81</f>
        <v>0</v>
      </c>
      <c r="R81" s="204"/>
    </row>
    <row r="82" customFormat="false" ht="12.75" hidden="false" customHeight="false" outlineLevel="0" collapsed="false">
      <c r="A82" s="550" t="s">
        <v>400</v>
      </c>
      <c r="B82" s="842" t="n">
        <v>0</v>
      </c>
      <c r="C82" s="509"/>
      <c r="D82" s="822" t="n">
        <v>0</v>
      </c>
      <c r="E82" s="822" t="n">
        <v>0</v>
      </c>
      <c r="F82" s="822" t="n">
        <v>0</v>
      </c>
      <c r="G82" s="823" t="n">
        <v>0</v>
      </c>
      <c r="H82" s="824" t="n">
        <f aca="false">G82*H91*$B$82</f>
        <v>0</v>
      </c>
      <c r="I82" s="824" t="n">
        <f aca="false">H82*I91*$B$82</f>
        <v>0</v>
      </c>
      <c r="J82" s="824" t="n">
        <f aca="false">I82*J91*$B$82</f>
        <v>0</v>
      </c>
      <c r="K82" s="824" t="n">
        <f aca="false">J82*K91*$B$82</f>
        <v>0</v>
      </c>
      <c r="L82" s="824" t="n">
        <f aca="false">K82*L91*$B$82</f>
        <v>0</v>
      </c>
      <c r="M82" s="824" t="n">
        <f aca="false">L82*M91*$B$82</f>
        <v>0</v>
      </c>
      <c r="N82" s="824" t="n">
        <f aca="false">M82*N91*$B$82</f>
        <v>0</v>
      </c>
      <c r="O82" s="824" t="n">
        <f aca="false">N82*O91*$B$82</f>
        <v>0</v>
      </c>
      <c r="P82" s="824" t="n">
        <f aca="false">O82*P91*$B$82</f>
        <v>0</v>
      </c>
      <c r="Q82" s="824" t="n">
        <f aca="false">P82*Q91*$B$82</f>
        <v>0</v>
      </c>
      <c r="R82" s="204"/>
    </row>
    <row r="83" customFormat="false" ht="12.75" hidden="false" customHeight="false" outlineLevel="0" collapsed="false">
      <c r="A83" s="550" t="s">
        <v>401</v>
      </c>
      <c r="B83" s="842" t="n">
        <v>0</v>
      </c>
      <c r="C83" s="509"/>
      <c r="D83" s="843" t="n">
        <v>0</v>
      </c>
      <c r="E83" s="843" t="n">
        <v>0</v>
      </c>
      <c r="F83" s="843" t="n">
        <v>0</v>
      </c>
      <c r="G83" s="844" t="n">
        <v>0</v>
      </c>
      <c r="H83" s="845" t="n">
        <f aca="false">G83*H92*$B$83</f>
        <v>0</v>
      </c>
      <c r="I83" s="845" t="n">
        <f aca="false">H83*I92*$B$83</f>
        <v>0</v>
      </c>
      <c r="J83" s="845" t="n">
        <f aca="false">I83*J92*$B$83</f>
        <v>0</v>
      </c>
      <c r="K83" s="845" t="n">
        <f aca="false">J83*K92*$B$83</f>
        <v>0</v>
      </c>
      <c r="L83" s="845" t="n">
        <f aca="false">K83*L92*$B$83</f>
        <v>0</v>
      </c>
      <c r="M83" s="845" t="n">
        <f aca="false">L83*M92*$B$83</f>
        <v>0</v>
      </c>
      <c r="N83" s="845" t="n">
        <f aca="false">M83*N92*$B$83</f>
        <v>0</v>
      </c>
      <c r="O83" s="845" t="n">
        <f aca="false">N83*O92*$B$83</f>
        <v>0</v>
      </c>
      <c r="P83" s="845" t="n">
        <f aca="false">O83*P92*$B$83</f>
        <v>0</v>
      </c>
      <c r="Q83" s="845" t="n">
        <f aca="false">P83*Q92*$B$83</f>
        <v>0</v>
      </c>
      <c r="R83" s="204"/>
    </row>
    <row r="84" customFormat="false" ht="12.75" hidden="false" customHeight="false" outlineLevel="0" collapsed="false">
      <c r="A84" s="454" t="s">
        <v>369</v>
      </c>
      <c r="B84" s="70"/>
      <c r="C84" s="509"/>
      <c r="D84" s="457" t="n">
        <f aca="false">SUM(D78:D83)</f>
        <v>496000</v>
      </c>
      <c r="E84" s="457" t="n">
        <f aca="false">SUM(E78:E83)</f>
        <v>471000</v>
      </c>
      <c r="F84" s="457" t="n">
        <f aca="false">SUM(F78:F83)</f>
        <v>483000</v>
      </c>
      <c r="G84" s="457" t="n">
        <f aca="false">SUM(G78:G83)</f>
        <v>540000</v>
      </c>
      <c r="H84" s="176" t="n">
        <f aca="false">SUM(H78:H83)</f>
        <v>546740</v>
      </c>
      <c r="I84" s="176" t="n">
        <f aca="false">SUM(I78:I83)</f>
        <v>553577.8</v>
      </c>
      <c r="J84" s="176" t="n">
        <f aca="false">SUM(J78:J83)</f>
        <v>560515.094</v>
      </c>
      <c r="K84" s="176" t="n">
        <f aca="false">SUM(K78:K83)</f>
        <v>567553.6105</v>
      </c>
      <c r="L84" s="176" t="n">
        <f aca="false">SUM(L78:L83)</f>
        <v>574695.1132934</v>
      </c>
      <c r="M84" s="176" t="n">
        <f aca="false">SUM(M78:M83)</f>
        <v>581941.402280218</v>
      </c>
      <c r="N84" s="176" t="n">
        <f aca="false">SUM(N78:N83)</f>
        <v>589294.314300649</v>
      </c>
      <c r="O84" s="176" t="n">
        <f aca="false">SUM(O78:O83)</f>
        <v>596755.723989505</v>
      </c>
      <c r="P84" s="176" t="n">
        <f aca="false">SUM(P78:P83)</f>
        <v>604327.544652082</v>
      </c>
      <c r="Q84" s="176" t="n">
        <f aca="false">SUM(Q78:Q83)</f>
        <v>612011.729162031</v>
      </c>
      <c r="R84" s="204"/>
    </row>
    <row r="85" customFormat="false" ht="12.75" hidden="false" customHeight="false" outlineLevel="0" collapsed="false">
      <c r="C85" s="509"/>
      <c r="D85" s="516"/>
      <c r="F85" s="34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204"/>
    </row>
    <row r="86" customFormat="false" ht="15.75" hidden="false" customHeight="false" outlineLevel="0" collapsed="false">
      <c r="A86" s="517" t="s">
        <v>242</v>
      </c>
      <c r="B86" s="85"/>
      <c r="C86" s="518"/>
      <c r="D86" s="519"/>
      <c r="E86" s="85"/>
      <c r="F86" s="520"/>
      <c r="G86" s="521"/>
      <c r="H86" s="521"/>
      <c r="I86" s="521"/>
      <c r="J86" s="521"/>
      <c r="K86" s="521"/>
      <c r="L86" s="521"/>
      <c r="M86" s="521"/>
      <c r="N86" s="521"/>
      <c r="O86" s="521"/>
      <c r="P86" s="521"/>
      <c r="Q86" s="521"/>
      <c r="R86" s="290"/>
    </row>
    <row r="87" customFormat="false" ht="12.75" hidden="false" customHeight="false" outlineLevel="0" collapsed="false">
      <c r="A87" s="0" t="s">
        <v>397</v>
      </c>
      <c r="C87" s="509"/>
      <c r="D87" s="516"/>
      <c r="F87" s="340"/>
      <c r="G87" s="100"/>
      <c r="H87" s="90" t="n">
        <v>1.01</v>
      </c>
      <c r="I87" s="90" t="n">
        <v>1.01</v>
      </c>
      <c r="J87" s="90" t="n">
        <v>1.01</v>
      </c>
      <c r="K87" s="90" t="n">
        <v>1.01</v>
      </c>
      <c r="L87" s="90" t="n">
        <v>1.01</v>
      </c>
      <c r="M87" s="90" t="n">
        <v>1.01</v>
      </c>
      <c r="N87" s="90" t="n">
        <v>1.01</v>
      </c>
      <c r="O87" s="90" t="n">
        <v>1.01</v>
      </c>
      <c r="P87" s="90" t="n">
        <v>1.01</v>
      </c>
      <c r="Q87" s="90" t="n">
        <v>1.01</v>
      </c>
      <c r="R87" s="204"/>
    </row>
    <row r="88" customFormat="false" ht="12.75" hidden="false" customHeight="false" outlineLevel="0" collapsed="false">
      <c r="A88" s="0" t="s">
        <v>398</v>
      </c>
      <c r="C88" s="509"/>
      <c r="D88" s="516"/>
      <c r="F88" s="340"/>
      <c r="G88" s="100"/>
      <c r="H88" s="90" t="n">
        <v>1.02</v>
      </c>
      <c r="I88" s="90" t="n">
        <v>1.02</v>
      </c>
      <c r="J88" s="90" t="n">
        <v>1.02</v>
      </c>
      <c r="K88" s="90" t="n">
        <v>1.02</v>
      </c>
      <c r="L88" s="90" t="n">
        <v>1.02</v>
      </c>
      <c r="M88" s="90" t="n">
        <v>1.02</v>
      </c>
      <c r="N88" s="90" t="n">
        <v>1.02</v>
      </c>
      <c r="O88" s="90" t="n">
        <v>1.02</v>
      </c>
      <c r="P88" s="90" t="n">
        <v>1.02</v>
      </c>
      <c r="Q88" s="90" t="n">
        <v>1.02</v>
      </c>
      <c r="R88" s="204"/>
    </row>
    <row r="89" customFormat="false" ht="12.75" hidden="false" customHeight="false" outlineLevel="0" collapsed="false">
      <c r="A89" s="0" t="s">
        <v>240</v>
      </c>
      <c r="C89" s="509"/>
      <c r="D89" s="516"/>
      <c r="F89" s="340"/>
      <c r="G89" s="100"/>
      <c r="H89" s="90" t="n">
        <v>1.03</v>
      </c>
      <c r="I89" s="90" t="n">
        <v>1.03</v>
      </c>
      <c r="J89" s="90" t="n">
        <v>1.03</v>
      </c>
      <c r="K89" s="90" t="n">
        <v>1.03</v>
      </c>
      <c r="L89" s="90" t="n">
        <v>1.03</v>
      </c>
      <c r="M89" s="90" t="n">
        <v>1.03</v>
      </c>
      <c r="N89" s="90" t="n">
        <v>1.03</v>
      </c>
      <c r="O89" s="90" t="n">
        <v>1.03</v>
      </c>
      <c r="P89" s="90" t="n">
        <v>1.03</v>
      </c>
      <c r="Q89" s="90" t="n">
        <v>1.03</v>
      </c>
      <c r="R89" s="204"/>
    </row>
    <row r="90" customFormat="false" ht="12.75" hidden="false" customHeight="false" outlineLevel="0" collapsed="false">
      <c r="A90" s="0" t="s">
        <v>399</v>
      </c>
      <c r="C90" s="509"/>
      <c r="D90" s="516"/>
      <c r="F90" s="340"/>
      <c r="G90" s="100"/>
      <c r="H90" s="90" t="n">
        <v>1</v>
      </c>
      <c r="I90" s="90" t="n">
        <v>1</v>
      </c>
      <c r="J90" s="90" t="n">
        <v>1</v>
      </c>
      <c r="K90" s="90" t="n">
        <v>1</v>
      </c>
      <c r="L90" s="90" t="n">
        <v>1</v>
      </c>
      <c r="M90" s="90" t="n">
        <v>1</v>
      </c>
      <c r="N90" s="90" t="n">
        <v>1</v>
      </c>
      <c r="O90" s="90" t="n">
        <v>1</v>
      </c>
      <c r="P90" s="90" t="n">
        <v>1</v>
      </c>
      <c r="Q90" s="90" t="n">
        <v>1</v>
      </c>
      <c r="R90" s="204"/>
    </row>
    <row r="91" customFormat="false" ht="12.75" hidden="false" customHeight="false" outlineLevel="0" collapsed="false">
      <c r="A91" s="0" t="s">
        <v>400</v>
      </c>
      <c r="C91" s="509"/>
      <c r="D91" s="516"/>
      <c r="F91" s="340"/>
      <c r="G91" s="100"/>
      <c r="H91" s="90" t="n">
        <v>1</v>
      </c>
      <c r="I91" s="90" t="n">
        <v>1</v>
      </c>
      <c r="J91" s="90" t="n">
        <v>1</v>
      </c>
      <c r="K91" s="90" t="n">
        <v>1</v>
      </c>
      <c r="L91" s="90" t="n">
        <v>1</v>
      </c>
      <c r="M91" s="90" t="n">
        <v>1</v>
      </c>
      <c r="N91" s="90" t="n">
        <v>1</v>
      </c>
      <c r="O91" s="90" t="n">
        <v>1</v>
      </c>
      <c r="P91" s="90" t="n">
        <v>1</v>
      </c>
      <c r="Q91" s="90" t="n">
        <v>1</v>
      </c>
      <c r="R91" s="204"/>
    </row>
    <row r="92" customFormat="false" ht="12.75" hidden="false" customHeight="false" outlineLevel="0" collapsed="false">
      <c r="A92" s="0" t="s">
        <v>401</v>
      </c>
      <c r="C92" s="509"/>
      <c r="D92" s="516"/>
      <c r="F92" s="340"/>
      <c r="G92" s="100"/>
      <c r="H92" s="90" t="n">
        <v>1</v>
      </c>
      <c r="I92" s="90" t="n">
        <v>1</v>
      </c>
      <c r="J92" s="90" t="n">
        <v>1</v>
      </c>
      <c r="K92" s="90" t="n">
        <v>1</v>
      </c>
      <c r="L92" s="90" t="n">
        <v>1</v>
      </c>
      <c r="M92" s="90" t="n">
        <v>1</v>
      </c>
      <c r="N92" s="90" t="n">
        <v>1</v>
      </c>
      <c r="O92" s="90" t="n">
        <v>1</v>
      </c>
      <c r="P92" s="90" t="n">
        <v>1</v>
      </c>
      <c r="Q92" s="90" t="n">
        <v>1</v>
      </c>
      <c r="R92" s="204"/>
    </row>
    <row r="93" customFormat="false" ht="12.75" hidden="false" customHeight="false" outlineLevel="0" collapsed="false">
      <c r="R93" s="204"/>
    </row>
    <row r="94" customFormat="false" ht="12.75" hidden="false" customHeight="false" outlineLevel="0" collapsed="false">
      <c r="R94" s="204"/>
    </row>
    <row r="95" customFormat="false" ht="15.75" hidden="false" customHeight="false" outlineLevel="0" collapsed="false">
      <c r="A95" s="284" t="s">
        <v>245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204"/>
    </row>
    <row r="96" customFormat="false" ht="14.25" hidden="false" customHeight="true" outlineLevel="0" collapsed="false">
      <c r="A96" s="288"/>
      <c r="B96" s="204"/>
      <c r="C96" s="204"/>
      <c r="D96" s="292"/>
      <c r="E96" s="292"/>
      <c r="F96" s="293"/>
      <c r="G96" s="294" t="s">
        <v>156</v>
      </c>
      <c r="H96" s="295"/>
      <c r="I96" s="293"/>
      <c r="J96" s="293"/>
      <c r="K96" s="296"/>
      <c r="L96" s="293"/>
      <c r="M96" s="296"/>
      <c r="N96" s="296"/>
      <c r="O96" s="296"/>
      <c r="P96" s="296"/>
      <c r="Q96" s="75"/>
      <c r="R96" s="204"/>
    </row>
    <row r="97" customFormat="false" ht="12.75" hidden="false" customHeight="false" outlineLevel="0" collapsed="false">
      <c r="A97" s="204"/>
      <c r="B97" s="204"/>
      <c r="C97" s="204"/>
      <c r="D97" s="297" t="n">
        <v>1998</v>
      </c>
      <c r="E97" s="297" t="n">
        <v>1999</v>
      </c>
      <c r="F97" s="297" t="n">
        <v>2000</v>
      </c>
      <c r="G97" s="297" t="n">
        <v>2001</v>
      </c>
      <c r="H97" s="298" t="n">
        <v>2002</v>
      </c>
      <c r="I97" s="298" t="n">
        <v>2003</v>
      </c>
      <c r="J97" s="298" t="n">
        <v>2004</v>
      </c>
      <c r="K97" s="298" t="n">
        <v>2005</v>
      </c>
      <c r="L97" s="298" t="n">
        <v>2006</v>
      </c>
      <c r="M97" s="299" t="n">
        <v>2007</v>
      </c>
      <c r="N97" s="299" t="n">
        <v>2008</v>
      </c>
      <c r="O97" s="299" t="n">
        <v>2009</v>
      </c>
      <c r="P97" s="299" t="n">
        <v>2010</v>
      </c>
      <c r="Q97" s="414" t="n">
        <v>2011</v>
      </c>
      <c r="R97" s="204"/>
    </row>
    <row r="98" customFormat="false" ht="12.75" hidden="false" customHeight="false" outlineLevel="0" collapsed="false">
      <c r="F98" s="301" t="s">
        <v>157</v>
      </c>
      <c r="G98" s="297" t="n">
        <v>1</v>
      </c>
      <c r="H98" s="298" t="n">
        <v>2</v>
      </c>
      <c r="I98" s="298" t="n">
        <v>3</v>
      </c>
      <c r="J98" s="298" t="n">
        <v>4</v>
      </c>
      <c r="K98" s="298" t="n">
        <v>5</v>
      </c>
      <c r="L98" s="298" t="n">
        <v>6</v>
      </c>
      <c r="M98" s="298" t="n">
        <v>7</v>
      </c>
      <c r="N98" s="298" t="n">
        <v>8</v>
      </c>
      <c r="O98" s="298" t="n">
        <v>9</v>
      </c>
      <c r="P98" s="298" t="n">
        <v>10</v>
      </c>
      <c r="Q98" s="302" t="n">
        <v>11</v>
      </c>
      <c r="R98" s="204"/>
    </row>
    <row r="99" customFormat="false" ht="12.75" hidden="false" customHeight="false" outlineLevel="0" collapsed="false">
      <c r="A99" s="386" t="s">
        <v>219</v>
      </c>
      <c r="B99" s="304" t="s">
        <v>159</v>
      </c>
      <c r="C99" s="16"/>
      <c r="R99" s="204"/>
    </row>
    <row r="100" customFormat="false" ht="12.75" hidden="false" customHeight="false" outlineLevel="0" collapsed="false">
      <c r="A100" s="550" t="s">
        <v>402</v>
      </c>
      <c r="B100" s="842" t="n">
        <v>1</v>
      </c>
      <c r="C100" s="16"/>
      <c r="D100" s="822" t="n">
        <v>213000</v>
      </c>
      <c r="E100" s="822" t="n">
        <v>191000</v>
      </c>
      <c r="F100" s="822" t="n">
        <v>211000</v>
      </c>
      <c r="G100" s="846" t="n">
        <f aca="false">105000*2</f>
        <v>210000</v>
      </c>
      <c r="H100" s="824" t="n">
        <f aca="false">G100*H108*$B$100</f>
        <v>215250</v>
      </c>
      <c r="I100" s="824" t="n">
        <f aca="false">H100*I108*$B$100</f>
        <v>220631.25</v>
      </c>
      <c r="J100" s="824" t="n">
        <f aca="false">I100*J108*$B$100</f>
        <v>226147.03125</v>
      </c>
      <c r="K100" s="824" t="n">
        <f aca="false">J100*K108*$B$100</f>
        <v>231800.70703125</v>
      </c>
      <c r="L100" s="824" t="n">
        <f aca="false">K100*L108*$B$100</f>
        <v>237595.724707031</v>
      </c>
      <c r="M100" s="824" t="n">
        <f aca="false">L100*M108*$B$100</f>
        <v>243535.617824707</v>
      </c>
      <c r="N100" s="824" t="n">
        <f aca="false">M100*N108*$B$100</f>
        <v>249624.008270325</v>
      </c>
      <c r="O100" s="824" t="n">
        <f aca="false">N100*O108*$B$100</f>
        <v>255864.608477083</v>
      </c>
      <c r="P100" s="824" t="n">
        <f aca="false">O100*P108*$B$100</f>
        <v>262261.22368901</v>
      </c>
      <c r="Q100" s="824" t="n">
        <f aca="false">P100*Q108*$B$100</f>
        <v>268817.754281235</v>
      </c>
      <c r="R100" s="204"/>
    </row>
    <row r="101" customFormat="false" ht="12.75" hidden="false" customHeight="false" outlineLevel="0" collapsed="false">
      <c r="A101" s="550" t="s">
        <v>403</v>
      </c>
      <c r="B101" s="842" t="n">
        <v>0</v>
      </c>
      <c r="C101" s="16"/>
      <c r="D101" s="822" t="n">
        <v>0</v>
      </c>
      <c r="E101" s="822" t="n">
        <v>0</v>
      </c>
      <c r="F101" s="822" t="n">
        <v>0</v>
      </c>
      <c r="G101" s="846" t="n">
        <v>0</v>
      </c>
      <c r="H101" s="824" t="n">
        <f aca="false">G101*H109*$B$101</f>
        <v>0</v>
      </c>
      <c r="I101" s="824" t="n">
        <f aca="false">H101*I109*$B$101</f>
        <v>0</v>
      </c>
      <c r="J101" s="824" t="n">
        <f aca="false">I101*J109*$B$101</f>
        <v>0</v>
      </c>
      <c r="K101" s="824" t="n">
        <f aca="false">J101*K109*$B$101</f>
        <v>0</v>
      </c>
      <c r="L101" s="824" t="n">
        <f aca="false">K101*L109*$B$101</f>
        <v>0</v>
      </c>
      <c r="M101" s="824" t="n">
        <f aca="false">L101*M109*$B$101</f>
        <v>0</v>
      </c>
      <c r="N101" s="824" t="n">
        <f aca="false">M101*N109*$B$101</f>
        <v>0</v>
      </c>
      <c r="O101" s="824" t="n">
        <f aca="false">N101*O109*$B$101</f>
        <v>0</v>
      </c>
      <c r="P101" s="824" t="n">
        <f aca="false">O101*P109*$B$101</f>
        <v>0</v>
      </c>
      <c r="Q101" s="824" t="n">
        <f aca="false">P101*Q109*$B$101</f>
        <v>0</v>
      </c>
      <c r="R101" s="204"/>
    </row>
    <row r="102" customFormat="false" ht="12.75" hidden="false" customHeight="false" outlineLevel="0" collapsed="false">
      <c r="A102" s="550" t="s">
        <v>404</v>
      </c>
      <c r="B102" s="842" t="n">
        <v>0</v>
      </c>
      <c r="C102" s="16"/>
      <c r="D102" s="822" t="n">
        <v>0</v>
      </c>
      <c r="E102" s="822" t="n">
        <v>0</v>
      </c>
      <c r="F102" s="822" t="n">
        <v>0</v>
      </c>
      <c r="G102" s="846" t="n">
        <v>0</v>
      </c>
      <c r="H102" s="824" t="n">
        <f aca="false">G102*H110*$B$102</f>
        <v>0</v>
      </c>
      <c r="I102" s="824" t="n">
        <f aca="false">H102*I110*$B$102</f>
        <v>0</v>
      </c>
      <c r="J102" s="824" t="n">
        <f aca="false">I102*J110*$B$102</f>
        <v>0</v>
      </c>
      <c r="K102" s="824" t="n">
        <f aca="false">J102*K110*$B$102</f>
        <v>0</v>
      </c>
      <c r="L102" s="824" t="n">
        <f aca="false">K102*L110*$B$102</f>
        <v>0</v>
      </c>
      <c r="M102" s="824" t="n">
        <f aca="false">L102*M110*$B$102</f>
        <v>0</v>
      </c>
      <c r="N102" s="824" t="n">
        <f aca="false">M102*N110*$B$102</f>
        <v>0</v>
      </c>
      <c r="O102" s="824" t="n">
        <f aca="false">N102*O110*$B$102</f>
        <v>0</v>
      </c>
      <c r="P102" s="824" t="n">
        <f aca="false">O102*P110*$B$102</f>
        <v>0</v>
      </c>
      <c r="Q102" s="824" t="n">
        <f aca="false">P102*Q110*$B$102</f>
        <v>0</v>
      </c>
      <c r="R102" s="204"/>
    </row>
    <row r="103" customFormat="false" ht="12.75" hidden="false" customHeight="false" outlineLevel="0" collapsed="false">
      <c r="A103" s="550" t="s">
        <v>405</v>
      </c>
      <c r="B103" s="842" t="n">
        <v>0</v>
      </c>
      <c r="C103" s="16"/>
      <c r="D103" s="822" t="n">
        <v>0</v>
      </c>
      <c r="E103" s="822" t="n">
        <v>0</v>
      </c>
      <c r="F103" s="822" t="n">
        <v>0</v>
      </c>
      <c r="G103" s="846" t="n">
        <v>0</v>
      </c>
      <c r="H103" s="824" t="n">
        <f aca="false">G103*H111*$B$103</f>
        <v>0</v>
      </c>
      <c r="I103" s="824" t="n">
        <f aca="false">H103*I111*$B$103</f>
        <v>0</v>
      </c>
      <c r="J103" s="824" t="n">
        <f aca="false">I103*J111*$B$103</f>
        <v>0</v>
      </c>
      <c r="K103" s="824" t="n">
        <f aca="false">J103*K111*$B$103</f>
        <v>0</v>
      </c>
      <c r="L103" s="824" t="n">
        <f aca="false">K103*L111*$B$103</f>
        <v>0</v>
      </c>
      <c r="M103" s="824" t="n">
        <f aca="false">L103*M111*$B$103</f>
        <v>0</v>
      </c>
      <c r="N103" s="824" t="n">
        <f aca="false">M103*N111*$B$103</f>
        <v>0</v>
      </c>
      <c r="O103" s="824" t="n">
        <f aca="false">N103*O111*$B$103</f>
        <v>0</v>
      </c>
      <c r="P103" s="824" t="n">
        <f aca="false">O103*P111*$B$103</f>
        <v>0</v>
      </c>
      <c r="Q103" s="824" t="n">
        <f aca="false">P103*Q111*$B$103</f>
        <v>0</v>
      </c>
      <c r="R103" s="204"/>
    </row>
    <row r="104" customFormat="false" ht="12.75" hidden="false" customHeight="false" outlineLevel="0" collapsed="false">
      <c r="A104" s="550" t="s">
        <v>406</v>
      </c>
      <c r="B104" s="842" t="n">
        <v>0</v>
      </c>
      <c r="C104" s="509"/>
      <c r="D104" s="843" t="n">
        <v>0</v>
      </c>
      <c r="E104" s="843" t="n">
        <v>0</v>
      </c>
      <c r="F104" s="843" t="n">
        <v>0</v>
      </c>
      <c r="G104" s="847" t="n">
        <v>0</v>
      </c>
      <c r="H104" s="845" t="n">
        <f aca="false">G104*H112*$B$104</f>
        <v>0</v>
      </c>
      <c r="I104" s="845" t="n">
        <f aca="false">H104*I112*$B$104</f>
        <v>0</v>
      </c>
      <c r="J104" s="845" t="n">
        <f aca="false">I104*J112*$B$104</f>
        <v>0</v>
      </c>
      <c r="K104" s="845" t="n">
        <f aca="false">J104*K112*$B$104</f>
        <v>0</v>
      </c>
      <c r="L104" s="845" t="n">
        <f aca="false">K104*L112*$B$104</f>
        <v>0</v>
      </c>
      <c r="M104" s="845" t="n">
        <f aca="false">L104*M112*$B$104</f>
        <v>0</v>
      </c>
      <c r="N104" s="845" t="n">
        <f aca="false">M104*N112*$B$104</f>
        <v>0</v>
      </c>
      <c r="O104" s="845" t="n">
        <f aca="false">N104*O112*$B$104</f>
        <v>0</v>
      </c>
      <c r="P104" s="845" t="n">
        <f aca="false">O104*P112*$B$104</f>
        <v>0</v>
      </c>
      <c r="Q104" s="845" t="n">
        <f aca="false">P104*Q112*$B$104</f>
        <v>0</v>
      </c>
      <c r="R104" s="204"/>
    </row>
    <row r="105" customFormat="false" ht="12.75" hidden="false" customHeight="false" outlineLevel="0" collapsed="false">
      <c r="A105" s="25" t="s">
        <v>370</v>
      </c>
      <c r="B105" s="209"/>
      <c r="C105" s="509"/>
      <c r="D105" s="457" t="n">
        <f aca="false">SUM(D100:D104)</f>
        <v>213000</v>
      </c>
      <c r="E105" s="457" t="n">
        <f aca="false">SUM(E100:E104)</f>
        <v>191000</v>
      </c>
      <c r="F105" s="457" t="n">
        <f aca="false">SUM(F100:F104)</f>
        <v>211000</v>
      </c>
      <c r="G105" s="457" t="n">
        <f aca="false">SUM(G100:G104)</f>
        <v>210000</v>
      </c>
      <c r="H105" s="176" t="n">
        <f aca="false">SUM(H100:H104)</f>
        <v>215250</v>
      </c>
      <c r="I105" s="176" t="n">
        <f aca="false">SUM(I100:I104)</f>
        <v>220631.25</v>
      </c>
      <c r="J105" s="176" t="n">
        <f aca="false">SUM(J100:J104)</f>
        <v>226147.03125</v>
      </c>
      <c r="K105" s="176" t="n">
        <f aca="false">SUM(K100:K104)</f>
        <v>231800.70703125</v>
      </c>
      <c r="L105" s="176" t="n">
        <f aca="false">SUM(L100:L104)</f>
        <v>237595.724707031</v>
      </c>
      <c r="M105" s="176" t="n">
        <f aca="false">SUM(M100:M104)</f>
        <v>243535.617824707</v>
      </c>
      <c r="N105" s="176" t="n">
        <f aca="false">SUM(N100:N104)</f>
        <v>249624.008270325</v>
      </c>
      <c r="O105" s="176" t="n">
        <f aca="false">SUM(O100:O104)</f>
        <v>255864.608477083</v>
      </c>
      <c r="P105" s="176" t="n">
        <f aca="false">SUM(P100:P104)</f>
        <v>262261.22368901</v>
      </c>
      <c r="Q105" s="176" t="n">
        <f aca="false">SUM(Q100:Q104)</f>
        <v>268817.754281235</v>
      </c>
      <c r="R105" s="204"/>
    </row>
    <row r="106" customFormat="false" ht="12.75" hidden="false" customHeight="false" outlineLevel="0" collapsed="false">
      <c r="C106" s="16"/>
      <c r="F106" s="34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204"/>
    </row>
    <row r="107" customFormat="false" ht="15.75" hidden="false" customHeight="false" outlineLevel="0" collapsed="false">
      <c r="A107" s="517" t="s">
        <v>242</v>
      </c>
      <c r="B107" s="85"/>
      <c r="C107" s="518"/>
      <c r="D107" s="519"/>
      <c r="E107" s="85"/>
      <c r="F107" s="520"/>
      <c r="G107" s="521"/>
      <c r="H107" s="521"/>
      <c r="I107" s="521"/>
      <c r="J107" s="521"/>
      <c r="K107" s="521"/>
      <c r="L107" s="521"/>
      <c r="M107" s="521"/>
      <c r="N107" s="521"/>
      <c r="O107" s="521"/>
      <c r="P107" s="521"/>
      <c r="Q107" s="521"/>
      <c r="R107" s="290"/>
    </row>
    <row r="108" customFormat="false" ht="12.75" hidden="false" customHeight="false" outlineLevel="0" collapsed="false">
      <c r="A108" s="0" t="s">
        <v>402</v>
      </c>
      <c r="C108" s="509"/>
      <c r="D108" s="516"/>
      <c r="F108" s="340"/>
      <c r="G108" s="100"/>
      <c r="H108" s="90" t="n">
        <v>1.025</v>
      </c>
      <c r="I108" s="90" t="n">
        <v>1.025</v>
      </c>
      <c r="J108" s="90" t="n">
        <v>1.025</v>
      </c>
      <c r="K108" s="90" t="n">
        <v>1.025</v>
      </c>
      <c r="L108" s="90" t="n">
        <v>1.025</v>
      </c>
      <c r="M108" s="90" t="n">
        <v>1.025</v>
      </c>
      <c r="N108" s="90" t="n">
        <v>1.025</v>
      </c>
      <c r="O108" s="90" t="n">
        <v>1.025</v>
      </c>
      <c r="P108" s="90" t="n">
        <v>1.025</v>
      </c>
      <c r="Q108" s="90" t="n">
        <v>1.025</v>
      </c>
      <c r="R108" s="204"/>
    </row>
    <row r="109" customFormat="false" ht="12.75" hidden="false" customHeight="false" outlineLevel="0" collapsed="false">
      <c r="A109" s="0" t="s">
        <v>403</v>
      </c>
      <c r="C109" s="509"/>
      <c r="D109" s="516"/>
      <c r="F109" s="340"/>
      <c r="G109" s="100"/>
      <c r="H109" s="90" t="n">
        <v>1</v>
      </c>
      <c r="I109" s="90" t="n">
        <v>1</v>
      </c>
      <c r="J109" s="90" t="n">
        <v>1</v>
      </c>
      <c r="K109" s="90" t="n">
        <v>1</v>
      </c>
      <c r="L109" s="90" t="n">
        <v>1</v>
      </c>
      <c r="M109" s="90" t="n">
        <v>1</v>
      </c>
      <c r="N109" s="90" t="n">
        <v>1</v>
      </c>
      <c r="O109" s="90" t="n">
        <v>1</v>
      </c>
      <c r="P109" s="90" t="n">
        <v>1</v>
      </c>
      <c r="Q109" s="90" t="n">
        <v>1</v>
      </c>
      <c r="R109" s="204"/>
    </row>
    <row r="110" customFormat="false" ht="12.75" hidden="false" customHeight="false" outlineLevel="0" collapsed="false">
      <c r="A110" s="0" t="s">
        <v>404</v>
      </c>
      <c r="C110" s="509"/>
      <c r="D110" s="516"/>
      <c r="F110" s="340"/>
      <c r="G110" s="100"/>
      <c r="H110" s="90" t="n">
        <v>1</v>
      </c>
      <c r="I110" s="90" t="n">
        <v>1</v>
      </c>
      <c r="J110" s="90" t="n">
        <v>1</v>
      </c>
      <c r="K110" s="90" t="n">
        <v>1</v>
      </c>
      <c r="L110" s="90" t="n">
        <v>1</v>
      </c>
      <c r="M110" s="90" t="n">
        <v>1</v>
      </c>
      <c r="N110" s="90" t="n">
        <v>1</v>
      </c>
      <c r="O110" s="90" t="n">
        <v>1</v>
      </c>
      <c r="P110" s="90" t="n">
        <v>1</v>
      </c>
      <c r="Q110" s="90" t="n">
        <v>1</v>
      </c>
      <c r="R110" s="204"/>
    </row>
    <row r="111" customFormat="false" ht="12.75" hidden="false" customHeight="false" outlineLevel="0" collapsed="false">
      <c r="A111" s="0" t="s">
        <v>405</v>
      </c>
      <c r="C111" s="509"/>
      <c r="D111" s="516"/>
      <c r="F111" s="340"/>
      <c r="G111" s="100"/>
      <c r="H111" s="90" t="n">
        <v>1</v>
      </c>
      <c r="I111" s="90" t="n">
        <v>1</v>
      </c>
      <c r="J111" s="90" t="n">
        <v>1</v>
      </c>
      <c r="K111" s="90" t="n">
        <v>1</v>
      </c>
      <c r="L111" s="90" t="n">
        <v>1</v>
      </c>
      <c r="M111" s="90" t="n">
        <v>1</v>
      </c>
      <c r="N111" s="90" t="n">
        <v>1</v>
      </c>
      <c r="O111" s="90" t="n">
        <v>1</v>
      </c>
      <c r="P111" s="90" t="n">
        <v>1</v>
      </c>
      <c r="Q111" s="90" t="n">
        <v>1</v>
      </c>
      <c r="R111" s="204"/>
    </row>
    <row r="112" customFormat="false" ht="12.75" hidden="false" customHeight="false" outlineLevel="0" collapsed="false">
      <c r="A112" s="0" t="s">
        <v>406</v>
      </c>
      <c r="C112" s="509"/>
      <c r="D112" s="516"/>
      <c r="F112" s="340"/>
      <c r="G112" s="100"/>
      <c r="H112" s="90" t="n">
        <v>1</v>
      </c>
      <c r="I112" s="90" t="n">
        <v>1</v>
      </c>
      <c r="J112" s="90" t="n">
        <v>1</v>
      </c>
      <c r="K112" s="90" t="n">
        <v>1</v>
      </c>
      <c r="L112" s="90" t="n">
        <v>1</v>
      </c>
      <c r="M112" s="90" t="n">
        <v>1</v>
      </c>
      <c r="N112" s="90" t="n">
        <v>1</v>
      </c>
      <c r="O112" s="90" t="n">
        <v>1</v>
      </c>
      <c r="P112" s="90" t="n">
        <v>1</v>
      </c>
      <c r="Q112" s="90" t="n">
        <v>1</v>
      </c>
      <c r="R112" s="204"/>
    </row>
    <row r="113" customFormat="false" ht="12.75" hidden="false" customHeight="false" outlineLevel="0" collapsed="false">
      <c r="C113" s="509"/>
      <c r="D113" s="516"/>
      <c r="F113" s="34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204"/>
    </row>
    <row r="114" customFormat="false" ht="12.75" hidden="false" customHeight="false" outlineLevel="0" collapsed="false">
      <c r="R114" s="204"/>
    </row>
    <row r="115" customFormat="false" ht="15.75" hidden="false" customHeight="false" outlineLevel="0" collapsed="false">
      <c r="A115" s="284" t="s">
        <v>407</v>
      </c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204"/>
    </row>
    <row r="116" customFormat="false" ht="12.75" hidden="false" customHeight="true" outlineLevel="0" collapsed="false">
      <c r="A116" s="288"/>
      <c r="B116" s="204"/>
      <c r="C116" s="204"/>
      <c r="D116" s="292"/>
      <c r="E116" s="292"/>
      <c r="F116" s="293"/>
      <c r="G116" s="294" t="s">
        <v>156</v>
      </c>
      <c r="H116" s="295"/>
      <c r="I116" s="293"/>
      <c r="J116" s="293"/>
      <c r="K116" s="296"/>
      <c r="L116" s="293"/>
      <c r="M116" s="296"/>
      <c r="N116" s="296"/>
      <c r="O116" s="296"/>
      <c r="P116" s="296"/>
      <c r="Q116" s="75"/>
      <c r="R116" s="204"/>
    </row>
    <row r="117" customFormat="false" ht="12.75" hidden="false" customHeight="true" outlineLevel="0" collapsed="false">
      <c r="A117" s="288"/>
      <c r="B117" s="204"/>
      <c r="C117" s="204"/>
      <c r="D117" s="297" t="n">
        <v>1998</v>
      </c>
      <c r="E117" s="297" t="n">
        <v>1999</v>
      </c>
      <c r="F117" s="297" t="n">
        <v>2000</v>
      </c>
      <c r="G117" s="297" t="n">
        <v>2001</v>
      </c>
      <c r="H117" s="298" t="n">
        <v>2002</v>
      </c>
      <c r="I117" s="298" t="n">
        <v>2003</v>
      </c>
      <c r="J117" s="298" t="n">
        <v>2004</v>
      </c>
      <c r="K117" s="298" t="n">
        <v>2005</v>
      </c>
      <c r="L117" s="298" t="n">
        <v>2006</v>
      </c>
      <c r="M117" s="299" t="n">
        <v>2007</v>
      </c>
      <c r="N117" s="299" t="n">
        <v>2008</v>
      </c>
      <c r="O117" s="299" t="n">
        <v>2009</v>
      </c>
      <c r="P117" s="299" t="n">
        <v>2010</v>
      </c>
      <c r="Q117" s="300" t="n">
        <v>2011</v>
      </c>
      <c r="R117" s="204"/>
    </row>
    <row r="118" customFormat="false" ht="12.75" hidden="false" customHeight="true" outlineLevel="0" collapsed="false">
      <c r="A118" s="204"/>
      <c r="B118" s="204"/>
      <c r="C118" s="204"/>
      <c r="F118" s="526" t="s">
        <v>157</v>
      </c>
      <c r="G118" s="297" t="n">
        <v>1</v>
      </c>
      <c r="H118" s="298" t="n">
        <v>2</v>
      </c>
      <c r="I118" s="298" t="n">
        <v>3</v>
      </c>
      <c r="J118" s="298" t="n">
        <v>4</v>
      </c>
      <c r="K118" s="298" t="n">
        <v>5</v>
      </c>
      <c r="L118" s="298" t="n">
        <v>6</v>
      </c>
      <c r="M118" s="298" t="n">
        <v>7</v>
      </c>
      <c r="N118" s="298" t="n">
        <v>8</v>
      </c>
      <c r="O118" s="298" t="n">
        <v>9</v>
      </c>
      <c r="P118" s="298" t="n">
        <v>10</v>
      </c>
      <c r="Q118" s="302" t="n">
        <v>11</v>
      </c>
      <c r="R118" s="204"/>
    </row>
    <row r="119" customFormat="false" ht="12.75" hidden="false" customHeight="false" outlineLevel="0" collapsed="false">
      <c r="A119" s="386" t="s">
        <v>372</v>
      </c>
      <c r="B119" s="304" t="s">
        <v>159</v>
      </c>
      <c r="R119" s="204"/>
    </row>
    <row r="120" customFormat="false" ht="12.75" hidden="false" customHeight="false" outlineLevel="0" collapsed="false">
      <c r="A120" s="550" t="s">
        <v>373</v>
      </c>
      <c r="B120" s="842" t="n">
        <v>1</v>
      </c>
      <c r="D120" s="822" t="n">
        <v>24000</v>
      </c>
      <c r="E120" s="822" t="n">
        <v>6000</v>
      </c>
      <c r="F120" s="822" t="n">
        <v>8000</v>
      </c>
      <c r="G120" s="823" t="n">
        <f aca="false">4000*2</f>
        <v>8000</v>
      </c>
      <c r="H120" s="824" t="n">
        <f aca="false">$B$120*G120*H126</f>
        <v>8080</v>
      </c>
      <c r="I120" s="824" t="n">
        <f aca="false">$B$120*H120*I126</f>
        <v>8160.8</v>
      </c>
      <c r="J120" s="824" t="n">
        <f aca="false">$B$120*I120*J126</f>
        <v>8242.408</v>
      </c>
      <c r="K120" s="824" t="n">
        <f aca="false">$B$120*J120*K126</f>
        <v>8324.83208</v>
      </c>
      <c r="L120" s="824" t="n">
        <f aca="false">$B$120*K120*L126</f>
        <v>8408.0804008</v>
      </c>
      <c r="M120" s="824" t="n">
        <f aca="false">$B$120*L120*M126</f>
        <v>8492.161204808</v>
      </c>
      <c r="N120" s="824" t="n">
        <f aca="false">$B$120*M120*N126</f>
        <v>8577.08281685608</v>
      </c>
      <c r="O120" s="824" t="n">
        <f aca="false">$B$120*N120*O126</f>
        <v>8662.85364502464</v>
      </c>
      <c r="P120" s="824" t="n">
        <f aca="false">$B$120*O120*P126</f>
        <v>8749.48218147489</v>
      </c>
      <c r="Q120" s="824" t="n">
        <f aca="false">$B$120*P120*Q126</f>
        <v>8836.97700328964</v>
      </c>
      <c r="R120" s="204"/>
    </row>
    <row r="121" customFormat="false" ht="12.75" hidden="false" customHeight="false" outlineLevel="0" collapsed="false">
      <c r="A121" s="550" t="s">
        <v>374</v>
      </c>
      <c r="B121" s="842" t="n">
        <v>0</v>
      </c>
      <c r="D121" s="822" t="n">
        <v>0</v>
      </c>
      <c r="E121" s="822" t="n">
        <v>0</v>
      </c>
      <c r="F121" s="822" t="n">
        <v>0</v>
      </c>
      <c r="G121" s="823" t="n">
        <v>0</v>
      </c>
      <c r="H121" s="824" t="n">
        <f aca="false">$B$121*G121*H127</f>
        <v>0</v>
      </c>
      <c r="I121" s="824" t="n">
        <f aca="false">$B$121*H121*I127</f>
        <v>0</v>
      </c>
      <c r="J121" s="824" t="n">
        <f aca="false">$B$121*I121*J127</f>
        <v>0</v>
      </c>
      <c r="K121" s="824" t="n">
        <f aca="false">$B$121*J121*K127</f>
        <v>0</v>
      </c>
      <c r="L121" s="824" t="n">
        <f aca="false">$B$121*K121*L127</f>
        <v>0</v>
      </c>
      <c r="M121" s="824" t="n">
        <f aca="false">$B$121*L121*M127</f>
        <v>0</v>
      </c>
      <c r="N121" s="824" t="n">
        <f aca="false">$B$121*M121*N127</f>
        <v>0</v>
      </c>
      <c r="O121" s="824" t="n">
        <f aca="false">$B$121*N121*O127</f>
        <v>0</v>
      </c>
      <c r="P121" s="824" t="n">
        <f aca="false">$B$121*O121*P127</f>
        <v>0</v>
      </c>
      <c r="Q121" s="824" t="n">
        <f aca="false">$B$121*P121*Q127</f>
        <v>0</v>
      </c>
      <c r="R121" s="204"/>
    </row>
    <row r="122" customFormat="false" ht="12.75" hidden="false" customHeight="false" outlineLevel="0" collapsed="false">
      <c r="A122" s="550" t="s">
        <v>375</v>
      </c>
      <c r="B122" s="842" t="n">
        <v>0</v>
      </c>
      <c r="D122" s="843" t="n">
        <v>0</v>
      </c>
      <c r="E122" s="843" t="n">
        <v>0</v>
      </c>
      <c r="F122" s="843" t="n">
        <v>0</v>
      </c>
      <c r="G122" s="844" t="n">
        <v>0</v>
      </c>
      <c r="H122" s="845" t="n">
        <f aca="false">$B$122*G122*H128</f>
        <v>0</v>
      </c>
      <c r="I122" s="845" t="n">
        <f aca="false">$B$122*H122*I128</f>
        <v>0</v>
      </c>
      <c r="J122" s="845" t="n">
        <f aca="false">$B$122*I122*J128</f>
        <v>0</v>
      </c>
      <c r="K122" s="845" t="n">
        <f aca="false">$B$122*J122*K128</f>
        <v>0</v>
      </c>
      <c r="L122" s="845" t="n">
        <f aca="false">$B$122*K122*L128</f>
        <v>0</v>
      </c>
      <c r="M122" s="845" t="n">
        <f aca="false">$B$122*L122*M128</f>
        <v>0</v>
      </c>
      <c r="N122" s="845" t="n">
        <f aca="false">$B$122*M122*N128</f>
        <v>0</v>
      </c>
      <c r="O122" s="845" t="n">
        <f aca="false">$B$122*N122*O128</f>
        <v>0</v>
      </c>
      <c r="P122" s="845" t="n">
        <f aca="false">$B$122*O122*P128</f>
        <v>0</v>
      </c>
      <c r="Q122" s="845" t="n">
        <f aca="false">$B$122*P122*Q128</f>
        <v>0</v>
      </c>
      <c r="R122" s="204"/>
    </row>
    <row r="123" customFormat="false" ht="12.75" hidden="false" customHeight="false" outlineLevel="0" collapsed="false">
      <c r="A123" s="512" t="s">
        <v>376</v>
      </c>
      <c r="D123" s="457" t="n">
        <f aca="false">SUM(D120:D122)</f>
        <v>24000</v>
      </c>
      <c r="E123" s="457" t="n">
        <f aca="false">SUM(E120:E122)</f>
        <v>6000</v>
      </c>
      <c r="F123" s="457" t="n">
        <f aca="false">SUM(F120:F122)</f>
        <v>8000</v>
      </c>
      <c r="G123" s="457" t="n">
        <f aca="false">SUM(G120:G122)</f>
        <v>8000</v>
      </c>
      <c r="H123" s="176" t="n">
        <f aca="false">SUM(H120:H122)</f>
        <v>8080</v>
      </c>
      <c r="I123" s="176" t="n">
        <f aca="false">SUM(I120:I122)</f>
        <v>8160.8</v>
      </c>
      <c r="J123" s="176" t="n">
        <f aca="false">SUM(J120:J122)</f>
        <v>8242.408</v>
      </c>
      <c r="K123" s="176" t="n">
        <f aca="false">SUM(K120:K122)</f>
        <v>8324.83208</v>
      </c>
      <c r="L123" s="176" t="n">
        <f aca="false">SUM(L120:L122)</f>
        <v>8408.0804008</v>
      </c>
      <c r="M123" s="176" t="n">
        <f aca="false">SUM(M120:M122)</f>
        <v>8492.161204808</v>
      </c>
      <c r="N123" s="176" t="n">
        <f aca="false">SUM(N120:N122)</f>
        <v>8577.08281685608</v>
      </c>
      <c r="O123" s="176" t="n">
        <f aca="false">SUM(O120:O122)</f>
        <v>8662.85364502464</v>
      </c>
      <c r="P123" s="176" t="n">
        <f aca="false">SUM(P120:P122)</f>
        <v>8749.48218147489</v>
      </c>
      <c r="Q123" s="176" t="n">
        <f aca="false">SUM(Q120:Q122)</f>
        <v>8836.97700328964</v>
      </c>
      <c r="R123" s="204"/>
    </row>
    <row r="124" customFormat="false" ht="12.75" hidden="false" customHeight="false" outlineLevel="0" collapsed="false">
      <c r="A124" s="528"/>
      <c r="D124" s="529"/>
      <c r="E124" s="529"/>
      <c r="F124" s="529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204"/>
    </row>
    <row r="125" customFormat="false" ht="15.75" hidden="false" customHeight="false" outlineLevel="0" collapsed="false">
      <c r="A125" s="517" t="s">
        <v>242</v>
      </c>
      <c r="B125" s="85"/>
      <c r="C125" s="518"/>
      <c r="D125" s="519"/>
      <c r="E125" s="85"/>
      <c r="F125" s="520"/>
      <c r="G125" s="521"/>
      <c r="H125" s="521"/>
      <c r="I125" s="521"/>
      <c r="J125" s="521"/>
      <c r="K125" s="521"/>
      <c r="L125" s="521"/>
      <c r="M125" s="521"/>
      <c r="N125" s="521"/>
      <c r="O125" s="521"/>
      <c r="P125" s="521"/>
      <c r="Q125" s="521"/>
      <c r="R125" s="290"/>
    </row>
    <row r="126" customFormat="false" ht="12.75" hidden="false" customHeight="false" outlineLevel="0" collapsed="false">
      <c r="A126" s="848" t="s">
        <v>373</v>
      </c>
      <c r="C126" s="509"/>
      <c r="D126" s="516"/>
      <c r="F126" s="340"/>
      <c r="G126" s="100"/>
      <c r="H126" s="90" t="n">
        <v>1.01</v>
      </c>
      <c r="I126" s="90" t="n">
        <v>1.01</v>
      </c>
      <c r="J126" s="90" t="n">
        <v>1.01</v>
      </c>
      <c r="K126" s="90" t="n">
        <v>1.01</v>
      </c>
      <c r="L126" s="90" t="n">
        <v>1.01</v>
      </c>
      <c r="M126" s="90" t="n">
        <v>1.01</v>
      </c>
      <c r="N126" s="90" t="n">
        <v>1.01</v>
      </c>
      <c r="O126" s="90" t="n">
        <v>1.01</v>
      </c>
      <c r="P126" s="90" t="n">
        <v>1.01</v>
      </c>
      <c r="Q126" s="90" t="n">
        <v>1.01</v>
      </c>
      <c r="R126" s="204"/>
    </row>
    <row r="127" customFormat="false" ht="12.75" hidden="false" customHeight="false" outlineLevel="0" collapsed="false">
      <c r="A127" s="848" t="s">
        <v>374</v>
      </c>
      <c r="C127" s="509"/>
      <c r="D127" s="516"/>
      <c r="F127" s="340"/>
      <c r="G127" s="100"/>
      <c r="H127" s="90" t="n">
        <v>1</v>
      </c>
      <c r="I127" s="90" t="n">
        <v>1</v>
      </c>
      <c r="J127" s="90" t="n">
        <v>1</v>
      </c>
      <c r="K127" s="90" t="n">
        <v>1</v>
      </c>
      <c r="L127" s="90" t="n">
        <v>1</v>
      </c>
      <c r="M127" s="90" t="n">
        <v>1</v>
      </c>
      <c r="N127" s="90" t="n">
        <v>1</v>
      </c>
      <c r="O127" s="90" t="n">
        <v>1</v>
      </c>
      <c r="P127" s="90" t="n">
        <v>1</v>
      </c>
      <c r="Q127" s="90" t="n">
        <v>1</v>
      </c>
      <c r="R127" s="204"/>
    </row>
    <row r="128" customFormat="false" ht="12.75" hidden="false" customHeight="false" outlineLevel="0" collapsed="false">
      <c r="A128" s="848" t="s">
        <v>375</v>
      </c>
      <c r="C128" s="509"/>
      <c r="D128" s="516"/>
      <c r="F128" s="340"/>
      <c r="G128" s="100"/>
      <c r="H128" s="90" t="n">
        <v>1</v>
      </c>
      <c r="I128" s="90" t="n">
        <v>1</v>
      </c>
      <c r="J128" s="90" t="n">
        <v>1</v>
      </c>
      <c r="K128" s="90" t="n">
        <v>1</v>
      </c>
      <c r="L128" s="90" t="n">
        <v>1</v>
      </c>
      <c r="M128" s="90" t="n">
        <v>1</v>
      </c>
      <c r="N128" s="90" t="n">
        <v>1</v>
      </c>
      <c r="O128" s="90" t="n">
        <v>1</v>
      </c>
      <c r="P128" s="90" t="n">
        <v>1</v>
      </c>
      <c r="Q128" s="90" t="n">
        <v>1</v>
      </c>
      <c r="R128" s="204"/>
    </row>
    <row r="129" customFormat="false" ht="12.75" hidden="false" customHeight="false" outlineLevel="0" collapsed="false">
      <c r="A129" s="848"/>
      <c r="C129" s="509"/>
      <c r="D129" s="516"/>
      <c r="F129" s="34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204"/>
    </row>
    <row r="130" customFormat="false" ht="12.75" hidden="false" customHeight="false" outlineLevel="0" collapsed="false">
      <c r="A130" s="386"/>
      <c r="C130" s="509"/>
      <c r="D130" s="516"/>
      <c r="F130" s="34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204"/>
    </row>
    <row r="131" customFormat="false" ht="15.75" hidden="false" customHeight="false" outlineLevel="0" collapsed="false">
      <c r="A131" s="284" t="s">
        <v>263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204"/>
    </row>
    <row r="132" customFormat="false" ht="12.75" hidden="false" customHeight="false" outlineLevel="0" collapsed="false">
      <c r="D132" s="292"/>
      <c r="E132" s="292"/>
      <c r="F132" s="293"/>
      <c r="G132" s="294" t="s">
        <v>156</v>
      </c>
      <c r="H132" s="295"/>
      <c r="I132" s="293"/>
      <c r="J132" s="293"/>
      <c r="K132" s="296"/>
      <c r="L132" s="293"/>
      <c r="M132" s="296"/>
      <c r="N132" s="296"/>
      <c r="O132" s="296"/>
      <c r="P132" s="296"/>
      <c r="Q132" s="75"/>
    </row>
    <row r="133" customFormat="false" ht="12.75" hidden="false" customHeight="false" outlineLevel="0" collapsed="false">
      <c r="D133" s="297" t="n">
        <v>1998</v>
      </c>
      <c r="E133" s="297" t="n">
        <v>1999</v>
      </c>
      <c r="F133" s="297" t="n">
        <v>2000</v>
      </c>
      <c r="G133" s="297" t="n">
        <v>2001</v>
      </c>
      <c r="H133" s="298" t="n">
        <v>2002</v>
      </c>
      <c r="I133" s="298" t="n">
        <v>2003</v>
      </c>
      <c r="J133" s="298" t="n">
        <v>2004</v>
      </c>
      <c r="K133" s="298" t="n">
        <v>2005</v>
      </c>
      <c r="L133" s="298" t="n">
        <v>2006</v>
      </c>
      <c r="M133" s="299" t="n">
        <v>2007</v>
      </c>
      <c r="N133" s="299" t="n">
        <v>2008</v>
      </c>
      <c r="O133" s="299" t="n">
        <v>2009</v>
      </c>
      <c r="P133" s="299" t="n">
        <v>2010</v>
      </c>
      <c r="Q133" s="300" t="n">
        <v>2011</v>
      </c>
    </row>
    <row r="134" customFormat="false" ht="12.75" hidden="false" customHeight="false" outlineLevel="0" collapsed="false">
      <c r="F134" s="526" t="s">
        <v>157</v>
      </c>
      <c r="G134" s="297" t="n">
        <v>1</v>
      </c>
      <c r="H134" s="298" t="n">
        <v>2</v>
      </c>
      <c r="I134" s="298" t="n">
        <v>3</v>
      </c>
      <c r="J134" s="298" t="n">
        <v>4</v>
      </c>
      <c r="K134" s="298" t="n">
        <v>5</v>
      </c>
      <c r="L134" s="298" t="n">
        <v>6</v>
      </c>
      <c r="M134" s="298" t="n">
        <v>7</v>
      </c>
      <c r="N134" s="298" t="n">
        <v>8</v>
      </c>
      <c r="O134" s="298" t="n">
        <v>9</v>
      </c>
      <c r="P134" s="298" t="n">
        <v>10</v>
      </c>
      <c r="Q134" s="302" t="n">
        <v>11</v>
      </c>
    </row>
    <row r="135" customFormat="false" ht="12.75" hidden="false" customHeight="false" outlineLevel="0" collapsed="false">
      <c r="A135" s="475" t="s">
        <v>264</v>
      </c>
      <c r="B135" s="146" t="e">
        <f aca="false">#REF!</f>
        <v>#REF!</v>
      </c>
      <c r="D135" s="470"/>
      <c r="E135" s="470"/>
      <c r="F135" s="310"/>
      <c r="G135" s="305"/>
      <c r="H135" s="849" t="e">
        <f aca="false">1/B135</f>
        <v>#REF!</v>
      </c>
      <c r="I135" s="850" t="e">
        <f aca="false">H135</f>
        <v>#REF!</v>
      </c>
      <c r="J135" s="850" t="e">
        <f aca="false">I135</f>
        <v>#REF!</v>
      </c>
      <c r="K135" s="850" t="e">
        <f aca="false">J135</f>
        <v>#REF!</v>
      </c>
      <c r="L135" s="850" t="e">
        <f aca="false">K135</f>
        <v>#REF!</v>
      </c>
      <c r="M135" s="850" t="e">
        <f aca="false">L135</f>
        <v>#REF!</v>
      </c>
      <c r="N135" s="850" t="e">
        <f aca="false">M135</f>
        <v>#REF!</v>
      </c>
      <c r="O135" s="850" t="e">
        <f aca="false">N135</f>
        <v>#REF!</v>
      </c>
      <c r="P135" s="850" t="e">
        <f aca="false">O135</f>
        <v>#REF!</v>
      </c>
      <c r="Q135" s="850" t="e">
        <f aca="false">P135</f>
        <v>#REF!</v>
      </c>
      <c r="R135" s="851" t="e">
        <f aca="false">Q135</f>
        <v>#REF!</v>
      </c>
    </row>
    <row r="136" customFormat="false" ht="12.75" hidden="false" customHeight="false" outlineLevel="0" collapsed="false">
      <c r="A136" s="187" t="s">
        <v>408</v>
      </c>
      <c r="B136" s="487" t="e">
        <f aca="false">Asset3PurPrice</f>
        <v>#REF!</v>
      </c>
      <c r="C136" s="533"/>
      <c r="D136" s="470"/>
      <c r="E136" s="470"/>
      <c r="F136" s="310"/>
      <c r="G136" s="305"/>
      <c r="H136" s="192" t="e">
        <f aca="false">B136/B135</f>
        <v>#REF!</v>
      </c>
      <c r="I136" s="192" t="e">
        <f aca="false">+H136</f>
        <v>#REF!</v>
      </c>
      <c r="J136" s="192" t="e">
        <f aca="false">+I136</f>
        <v>#REF!</v>
      </c>
      <c r="K136" s="192" t="e">
        <f aca="false">+J136</f>
        <v>#REF!</v>
      </c>
      <c r="L136" s="192" t="e">
        <f aca="false">+K136</f>
        <v>#REF!</v>
      </c>
      <c r="M136" s="192" t="e">
        <f aca="false">+L136</f>
        <v>#REF!</v>
      </c>
      <c r="N136" s="192" t="e">
        <f aca="false">+M136</f>
        <v>#REF!</v>
      </c>
      <c r="O136" s="192" t="e">
        <f aca="false">+N136</f>
        <v>#REF!</v>
      </c>
      <c r="P136" s="192" t="e">
        <f aca="false">+O136</f>
        <v>#REF!</v>
      </c>
      <c r="Q136" s="192" t="e">
        <f aca="false">+P136</f>
        <v>#REF!</v>
      </c>
      <c r="R136" s="192" t="e">
        <f aca="false">+Q136</f>
        <v>#REF!</v>
      </c>
    </row>
    <row r="137" customFormat="false" ht="12.75" hidden="false" customHeight="false" outlineLevel="0" collapsed="false">
      <c r="A137" s="187" t="s">
        <v>266</v>
      </c>
      <c r="D137" s="535"/>
      <c r="E137" s="535"/>
      <c r="F137" s="317"/>
      <c r="G137" s="305"/>
      <c r="H137" s="195" t="e">
        <f aca="false">(#REF!*H135)</f>
        <v>#REF!</v>
      </c>
      <c r="I137" s="195" t="e">
        <f aca="false">(#REF!*I135)+(#REF!*H135)</f>
        <v>#REF!</v>
      </c>
      <c r="J137" s="195" t="e">
        <f aca="false">(#REF!*J135)+(#REF!*I135)+(#REF!*H135)</f>
        <v>#REF!</v>
      </c>
      <c r="K137" s="195" t="e">
        <f aca="false">(#REF!*K135)+(#REF!*J135)+(#REF!*I135)+(#REF!*H135)</f>
        <v>#REF!</v>
      </c>
      <c r="L137" s="195" t="e">
        <f aca="false">(#REF!*L135)+(#REF!*K135)+(#REF!*J135)+(#REF!*I135)+(#REF!*H135)</f>
        <v>#REF!</v>
      </c>
      <c r="M137" s="195" t="e">
        <f aca="false">(#REF!*M135)+(#REF!*L135)+(#REF!*K135)+(#REF!*J135)+(#REF!*I135)+(#REF!*H135)</f>
        <v>#REF!</v>
      </c>
      <c r="N137" s="195" t="e">
        <f aca="false">(#REF!*N135)+(#REF!*M135)+(#REF!*L135)+(#REF!*K135)+(#REF!*J135)+(#REF!*I135)+(#REF!*H135)</f>
        <v>#REF!</v>
      </c>
      <c r="O137" s="195" t="e">
        <f aca="false">(#REF!*O135)+(#REF!*N135)+(#REF!*M135)+(#REF!*L135)+(#REF!*K135)+(#REF!*J135)+(#REF!*I135)+(#REF!*H135)</f>
        <v>#REF!</v>
      </c>
      <c r="P137" s="195" t="e">
        <f aca="false">(#REF!*P135)+(#REF!*O135)+(#REF!*N135)+(#REF!*M135)+(#REF!*L135)+(#REF!*K135)+(#REF!*J135)+(#REF!*I135)+(#REF!*H135)</f>
        <v>#REF!</v>
      </c>
      <c r="Q137" s="195" t="e">
        <f aca="false">(#REF!*Q135)+(#REF!*P135)+(#REF!*O135)+(#REF!*N135)+(#REF!*M135)+(#REF!*L135)+(#REF!*K135)+(#REF!*J135)+(#REF!*I135)+(#REF!*H135)</f>
        <v>#REF!</v>
      </c>
      <c r="R137" s="195" t="e">
        <f aca="false">(#REF!*R135)+(#REF!*Q135)+(#REF!*P135)+(#REF!*O135)+(#REF!*N135)+(#REF!*M135)+(#REF!*L135)+(#REF!*K135)+(#REF!*J135)+(#REF!*I135)+(#REF!*H135)</f>
        <v>#REF!</v>
      </c>
    </row>
    <row r="138" customFormat="false" ht="12.75" hidden="false" customHeight="false" outlineLevel="0" collapsed="false">
      <c r="A138" s="528" t="s">
        <v>267</v>
      </c>
      <c r="D138" s="470"/>
      <c r="E138" s="470"/>
      <c r="F138" s="310"/>
      <c r="G138" s="305"/>
      <c r="H138" s="176" t="e">
        <f aca="false">SUM(H136:H137)</f>
        <v>#REF!</v>
      </c>
      <c r="I138" s="176" t="e">
        <f aca="false">SUM(I136:I137)</f>
        <v>#REF!</v>
      </c>
      <c r="J138" s="176" t="e">
        <f aca="false">SUM(J136:J137)</f>
        <v>#REF!</v>
      </c>
      <c r="K138" s="176" t="e">
        <f aca="false">SUM(K136:K137)</f>
        <v>#REF!</v>
      </c>
      <c r="L138" s="176" t="e">
        <f aca="false">SUM(L136:L137)</f>
        <v>#REF!</v>
      </c>
      <c r="M138" s="176" t="e">
        <f aca="false">SUM(M136:M137)</f>
        <v>#REF!</v>
      </c>
      <c r="N138" s="176" t="e">
        <f aca="false">SUM(N136:N137)</f>
        <v>#REF!</v>
      </c>
      <c r="O138" s="176" t="e">
        <f aca="false">SUM(O136:O137)</f>
        <v>#REF!</v>
      </c>
      <c r="P138" s="176" t="e">
        <f aca="false">SUM(P136:P137)</f>
        <v>#REF!</v>
      </c>
      <c r="Q138" s="176" t="e">
        <f aca="false">SUM(Q136:Q137)</f>
        <v>#REF!</v>
      </c>
      <c r="R138" s="176" t="e">
        <f aca="false">SUM(R136:R137)</f>
        <v>#REF!</v>
      </c>
    </row>
    <row r="139" customFormat="false" ht="12.75" hidden="false" customHeight="false" outlineLevel="0" collapsed="false">
      <c r="A139" s="187"/>
      <c r="D139" s="470"/>
      <c r="E139" s="470"/>
      <c r="F139" s="310"/>
      <c r="G139" s="310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customFormat="false" ht="12.75" hidden="false" customHeight="false" outlineLevel="0" collapsed="false">
      <c r="A140" s="348" t="s">
        <v>268</v>
      </c>
      <c r="D140" s="470"/>
      <c r="E140" s="470"/>
      <c r="F140" s="310"/>
      <c r="G140" s="305"/>
      <c r="H140" s="593" t="n">
        <v>0.05</v>
      </c>
      <c r="I140" s="594" t="n">
        <v>0.095</v>
      </c>
      <c r="J140" s="594" t="n">
        <v>0.0855</v>
      </c>
      <c r="K140" s="594" t="n">
        <v>0.077</v>
      </c>
      <c r="L140" s="594" t="n">
        <v>0.0693</v>
      </c>
      <c r="M140" s="594" t="n">
        <v>0.0623</v>
      </c>
      <c r="N140" s="594" t="n">
        <v>0.059</v>
      </c>
      <c r="O140" s="594" t="n">
        <v>0.059</v>
      </c>
      <c r="P140" s="594" t="n">
        <v>0.0591</v>
      </c>
      <c r="Q140" s="594" t="n">
        <v>0.059</v>
      </c>
      <c r="R140" s="595" t="n">
        <v>0.0591</v>
      </c>
    </row>
    <row r="141" customFormat="false" ht="12.75" hidden="false" customHeight="false" outlineLevel="0" collapsed="false">
      <c r="A141" s="187" t="s">
        <v>408</v>
      </c>
      <c r="B141" s="541"/>
      <c r="D141" s="470"/>
      <c r="E141" s="470"/>
      <c r="F141" s="310"/>
      <c r="G141" s="305"/>
      <c r="H141" s="187" t="e">
        <f aca="false">H140*$B$136</f>
        <v>#REF!</v>
      </c>
      <c r="I141" s="187" t="e">
        <f aca="false">I140*$B$136</f>
        <v>#REF!</v>
      </c>
      <c r="J141" s="187" t="e">
        <f aca="false">J140*$B$136</f>
        <v>#REF!</v>
      </c>
      <c r="K141" s="187" t="e">
        <f aca="false">K140*$B$136</f>
        <v>#REF!</v>
      </c>
      <c r="L141" s="187" t="e">
        <f aca="false">L140*$B$136</f>
        <v>#REF!</v>
      </c>
      <c r="M141" s="187" t="e">
        <f aca="false">M140*$B$136</f>
        <v>#REF!</v>
      </c>
      <c r="N141" s="187" t="e">
        <f aca="false">N140*$B$136</f>
        <v>#REF!</v>
      </c>
      <c r="O141" s="187" t="e">
        <f aca="false">O140*$B$136</f>
        <v>#REF!</v>
      </c>
      <c r="P141" s="187" t="e">
        <f aca="false">P140*$B$136</f>
        <v>#REF!</v>
      </c>
      <c r="Q141" s="187" t="e">
        <f aca="false">Q140*$B$136</f>
        <v>#REF!</v>
      </c>
      <c r="R141" s="187" t="e">
        <f aca="false">R140*$B$136</f>
        <v>#REF!</v>
      </c>
    </row>
    <row r="142" customFormat="false" ht="15" hidden="false" customHeight="false" outlineLevel="0" collapsed="false">
      <c r="A142" s="187" t="s">
        <v>266</v>
      </c>
      <c r="B142" s="466"/>
      <c r="D142" s="477"/>
      <c r="E142" s="477"/>
      <c r="F142" s="310"/>
      <c r="G142" s="305"/>
      <c r="H142" s="339" t="e">
        <f aca="false">(#REF!*H$140)</f>
        <v>#REF!</v>
      </c>
      <c r="I142" s="339" t="e">
        <f aca="false">(#REF!*I140)+(#REF!*H140)</f>
        <v>#REF!</v>
      </c>
      <c r="J142" s="339" t="e">
        <f aca="false">(#REF!*J140)+(#REF!*I140)+(#REF!*H140)</f>
        <v>#REF!</v>
      </c>
      <c r="K142" s="339" t="e">
        <f aca="false">(#REF!*K140)+(#REF!*J140)+(#REF!*I140)+(#REF!*H140)</f>
        <v>#REF!</v>
      </c>
      <c r="L142" s="339" t="e">
        <f aca="false">(#REF!*L140)+(#REF!*K140)+(#REF!*J140)+(#REF!*I140)+(#REF!*H140)</f>
        <v>#REF!</v>
      </c>
      <c r="M142" s="339" t="e">
        <f aca="false">(#REF!*M140)+(#REF!*L140)+(#REF!*K140)+(#REF!*J140)+(#REF!*I140)+(#REF!*H140)</f>
        <v>#REF!</v>
      </c>
      <c r="N142" s="339" t="e">
        <f aca="false">(#REF!*N140)+(#REF!*M140)+(#REF!*L140)+(#REF!*K140)+(#REF!*J140)+(#REF!*I140)+(#REF!*H140)</f>
        <v>#REF!</v>
      </c>
      <c r="O142" s="339" t="e">
        <f aca="false">(#REF!*O140)+(#REF!*N140)+(#REF!*M140)+(#REF!*L140)+(#REF!*K140)+(#REF!*J140)+(#REF!*I140)+(#REF!*H140)</f>
        <v>#REF!</v>
      </c>
      <c r="P142" s="339" t="e">
        <f aca="false">(#REF!*P140)+(#REF!*O140)+(#REF!*N140)+(#REF!*M140)+(#REF!*L140)+(#REF!*K140)+(#REF!*J140)+(#REF!*I140)+(#REF!*H140)</f>
        <v>#REF!</v>
      </c>
      <c r="Q142" s="339" t="e">
        <f aca="false">(#REF!*Q140)+(#REF!*P140)+(#REF!*O140)+(#REF!*N140)+(#REF!*M140)+(#REF!*L140)+(#REF!*K140)+(#REF!*J140)+(#REF!*I140)+(#REF!*H140)</f>
        <v>#REF!</v>
      </c>
      <c r="R142" s="339" t="e">
        <f aca="false">(#REF!*R140)+(#REF!*Q140)+(#REF!*P140)+(#REF!*O140)+(#REF!*N140)+(#REF!*M140)+(#REF!*L140)+(#REF!*K140)+(#REF!*J140)+(#REF!*I140)+(#REF!*H140)</f>
        <v>#REF!</v>
      </c>
    </row>
    <row r="143" customFormat="false" ht="12.75" hidden="false" customHeight="false" outlineLevel="0" collapsed="false">
      <c r="A143" s="528" t="s">
        <v>269</v>
      </c>
      <c r="D143" s="470"/>
      <c r="E143" s="470"/>
      <c r="F143" s="310"/>
      <c r="G143" s="305"/>
      <c r="H143" s="187" t="e">
        <f aca="false">SUM(H141:H142)</f>
        <v>#REF!</v>
      </c>
      <c r="I143" s="187" t="e">
        <f aca="false">SUM(I141:I142)</f>
        <v>#REF!</v>
      </c>
      <c r="J143" s="187" t="e">
        <f aca="false">SUM(J141:J142)</f>
        <v>#REF!</v>
      </c>
      <c r="K143" s="187" t="e">
        <f aca="false">SUM(K141:K142)</f>
        <v>#REF!</v>
      </c>
      <c r="L143" s="187" t="e">
        <f aca="false">SUM(L141:L142)</f>
        <v>#REF!</v>
      </c>
      <c r="M143" s="187" t="e">
        <f aca="false">SUM(M141:M142)</f>
        <v>#REF!</v>
      </c>
      <c r="N143" s="187" t="e">
        <f aca="false">SUM(N141:N142)</f>
        <v>#REF!</v>
      </c>
      <c r="O143" s="187" t="e">
        <f aca="false">SUM(O141:O142)</f>
        <v>#REF!</v>
      </c>
      <c r="P143" s="187" t="e">
        <f aca="false">SUM(P141:P142)</f>
        <v>#REF!</v>
      </c>
      <c r="Q143" s="187" t="e">
        <f aca="false">SUM(Q141:Q142)</f>
        <v>#REF!</v>
      </c>
      <c r="R143" s="187" t="e">
        <f aca="false">SUM(R141:R142)</f>
        <v>#REF!</v>
      </c>
    </row>
    <row r="146" customFormat="false" ht="15.75" hidden="false" customHeight="false" outlineLevel="0" collapsed="false">
      <c r="A146" s="284" t="s">
        <v>409</v>
      </c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</sheetData>
  <conditionalFormatting sqref="C17">
    <cfRule type="cellIs" priority="2" operator="notBetween" aboveAverage="0" equalAverage="0" bottom="0" percent="0" rank="0" text="" dxfId="6">
      <formula>0.25</formula>
      <formula>-0.25</formula>
    </cfRule>
  </conditionalFormatting>
  <printOptions headings="false" gridLines="false" gridLinesSet="true" horizontalCentered="false" verticalCentered="false"/>
  <pageMargins left="0.309722222222222" right="0.170138888888889" top="0.620138888888889" bottom="0.3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7"/>
  <sheetViews>
    <sheetView showFormulas="false" showGridLines="fals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35.42"/>
    <col collapsed="false" customWidth="true" hidden="false" outlineLevel="0" max="2" min="2" style="0" width="1.56"/>
    <col collapsed="false" customWidth="true" hidden="false" outlineLevel="0" max="3" min="3" style="0" width="1.41"/>
    <col collapsed="false" customWidth="true" hidden="false" outlineLevel="0" max="4" min="4" style="0" width="11.28"/>
    <col collapsed="false" customWidth="true" hidden="false" outlineLevel="0" max="5" min="5" style="0" width="13.85"/>
    <col collapsed="false" customWidth="true" hidden="false" outlineLevel="0" max="6" min="6" style="0" width="16.84"/>
    <col collapsed="false" customWidth="true" hidden="false" outlineLevel="0" max="7" min="7" style="0" width="14.56"/>
    <col collapsed="false" customWidth="true" hidden="false" outlineLevel="0" max="8" min="8" style="0" width="12.56"/>
    <col collapsed="false" customWidth="true" hidden="false" outlineLevel="0" max="9" min="9" style="0" width="13.56"/>
    <col collapsed="false" customWidth="true" hidden="false" outlineLevel="0" max="10" min="10" style="0" width="13.14"/>
    <col collapsed="false" customWidth="true" hidden="false" outlineLevel="0" max="17" min="11" style="0" width="11.28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0"/>
      <c r="D1" s="12"/>
      <c r="F1" s="818" t="s">
        <v>191</v>
      </c>
      <c r="G1" s="438"/>
      <c r="H1" s="819"/>
      <c r="I1" s="819"/>
      <c r="J1" s="439"/>
    </row>
    <row r="2" customFormat="false" ht="15.75" hidden="false" customHeight="false" outlineLevel="0" collapsed="false">
      <c r="A2" s="440" t="str">
        <f aca="false">'Org Chart'!B5</f>
        <v>Northern Natural</v>
      </c>
      <c r="B2" s="441"/>
      <c r="C2" s="16"/>
      <c r="D2" s="18"/>
      <c r="F2" s="443"/>
      <c r="G2" s="318"/>
      <c r="H2" s="318"/>
      <c r="I2" s="318"/>
      <c r="J2" s="18"/>
    </row>
    <row r="3" customFormat="false" ht="16.5" hidden="false" customHeight="false" outlineLevel="0" collapsed="false">
      <c r="A3" s="445" t="s">
        <v>410</v>
      </c>
      <c r="B3" s="446"/>
      <c r="C3" s="28"/>
      <c r="D3" s="30"/>
      <c r="F3" s="443"/>
      <c r="G3" s="16"/>
      <c r="H3" s="318"/>
      <c r="I3" s="318"/>
      <c r="J3" s="18"/>
    </row>
    <row r="4" customFormat="false" ht="13.5" hidden="false" customHeight="false" outlineLevel="0" collapsed="false">
      <c r="F4" s="448"/>
      <c r="G4" s="449"/>
      <c r="H4" s="449"/>
      <c r="I4" s="449"/>
      <c r="J4" s="30"/>
    </row>
    <row r="6" customFormat="false" ht="15.75" hidden="false" customHeight="false" outlineLevel="0" collapsed="false">
      <c r="A6" s="284" t="s">
        <v>411</v>
      </c>
      <c r="B6" s="285"/>
      <c r="C6" s="85"/>
      <c r="D6" s="286"/>
      <c r="E6" s="286"/>
      <c r="F6" s="85"/>
      <c r="G6" s="287"/>
      <c r="H6" s="287"/>
      <c r="I6" s="287"/>
      <c r="J6" s="85"/>
      <c r="K6" s="85"/>
      <c r="L6" s="85"/>
      <c r="M6" s="85"/>
      <c r="N6" s="85"/>
      <c r="O6" s="85"/>
      <c r="P6" s="85"/>
      <c r="Q6" s="85"/>
      <c r="R6" s="85"/>
      <c r="S6" s="152"/>
      <c r="T6" s="152"/>
    </row>
    <row r="7" customFormat="false" ht="12.75" hidden="false" customHeight="false" outlineLevel="0" collapsed="false">
      <c r="D7" s="292"/>
      <c r="E7" s="292"/>
      <c r="F7" s="293"/>
      <c r="G7" s="294" t="s">
        <v>156</v>
      </c>
      <c r="H7" s="295"/>
      <c r="I7" s="293"/>
      <c r="J7" s="293"/>
      <c r="K7" s="296"/>
      <c r="L7" s="293"/>
      <c r="M7" s="296"/>
      <c r="N7" s="296"/>
      <c r="O7" s="296"/>
      <c r="P7" s="296"/>
      <c r="Q7" s="75"/>
      <c r="R7" s="75"/>
      <c r="S7" s="75"/>
      <c r="T7" s="75"/>
    </row>
    <row r="8" customFormat="false" ht="12.75" hidden="false" customHeight="false" outlineLevel="0" collapsed="false">
      <c r="D8" s="297" t="n">
        <v>1998</v>
      </c>
      <c r="E8" s="297" t="n">
        <v>1999</v>
      </c>
      <c r="F8" s="297" t="n">
        <v>2000</v>
      </c>
      <c r="G8" s="297" t="n">
        <v>2001</v>
      </c>
      <c r="H8" s="852" t="s">
        <v>412</v>
      </c>
      <c r="I8" s="852"/>
      <c r="J8" s="298" t="s">
        <v>413</v>
      </c>
      <c r="K8" s="298" t="n">
        <v>2002</v>
      </c>
      <c r="L8" s="298" t="n">
        <v>2003</v>
      </c>
      <c r="M8" s="298" t="n">
        <v>2004</v>
      </c>
      <c r="N8" s="298" t="n">
        <v>2005</v>
      </c>
      <c r="O8" s="298" t="n">
        <v>2006</v>
      </c>
      <c r="P8" s="299" t="n">
        <v>2007</v>
      </c>
      <c r="Q8" s="299" t="n">
        <v>2008</v>
      </c>
      <c r="R8" s="299" t="n">
        <v>2009</v>
      </c>
      <c r="S8" s="299" t="n">
        <v>2010</v>
      </c>
      <c r="T8" s="300" t="n">
        <v>2011</v>
      </c>
    </row>
    <row r="9" customFormat="false" ht="12.75" hidden="false" customHeight="false" outlineLevel="0" collapsed="false">
      <c r="D9" s="204"/>
      <c r="E9" s="204"/>
      <c r="F9" s="301" t="s">
        <v>157</v>
      </c>
      <c r="G9" s="297" t="n">
        <v>1</v>
      </c>
      <c r="H9" s="853" t="s">
        <v>414</v>
      </c>
      <c r="I9" s="854" t="s">
        <v>415</v>
      </c>
      <c r="J9" s="298" t="n">
        <v>1</v>
      </c>
      <c r="K9" s="298" t="n">
        <v>2</v>
      </c>
      <c r="L9" s="298" t="n">
        <v>3</v>
      </c>
      <c r="M9" s="298" t="n">
        <v>4</v>
      </c>
      <c r="N9" s="298" t="n">
        <v>5</v>
      </c>
      <c r="O9" s="298" t="n">
        <v>6</v>
      </c>
      <c r="P9" s="298" t="n">
        <v>7</v>
      </c>
      <c r="Q9" s="298" t="n">
        <v>8</v>
      </c>
      <c r="R9" s="298" t="n">
        <v>9</v>
      </c>
      <c r="S9" s="298" t="n">
        <v>10</v>
      </c>
      <c r="T9" s="302" t="n">
        <v>11</v>
      </c>
    </row>
    <row r="10" customFormat="false" ht="12.75" hidden="false" customHeight="false" outlineLevel="0" collapsed="false">
      <c r="A10" s="386" t="s">
        <v>416</v>
      </c>
      <c r="D10" s="305"/>
      <c r="E10" s="305"/>
      <c r="F10" s="820"/>
      <c r="G10" s="821"/>
      <c r="H10" s="17"/>
      <c r="I10" s="855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597"/>
    </row>
    <row r="11" customFormat="false" ht="12.75" hidden="false" customHeight="false" outlineLevel="0" collapsed="false">
      <c r="A11" s="856" t="s">
        <v>417</v>
      </c>
      <c r="D11" s="822"/>
      <c r="E11" s="822" t="n">
        <v>0</v>
      </c>
      <c r="F11" s="822" t="n">
        <v>0</v>
      </c>
      <c r="G11" s="822" t="n">
        <v>0</v>
      </c>
      <c r="H11" s="857" t="n">
        <v>0</v>
      </c>
      <c r="I11" s="857" t="n">
        <v>0</v>
      </c>
    </row>
    <row r="12" customFormat="false" ht="12.75" hidden="false" customHeight="false" outlineLevel="0" collapsed="false">
      <c r="A12" s="858" t="s">
        <v>418</v>
      </c>
      <c r="D12" s="822"/>
      <c r="E12" s="822" t="n">
        <v>112000</v>
      </c>
      <c r="F12" s="822" t="n">
        <v>140000</v>
      </c>
      <c r="G12" s="822" t="n">
        <v>171000</v>
      </c>
      <c r="H12" s="857" t="n">
        <v>0</v>
      </c>
      <c r="I12" s="857" t="n">
        <v>0</v>
      </c>
      <c r="J12" s="185" t="n">
        <f aca="false">G12+H12+I12</f>
        <v>171000</v>
      </c>
      <c r="K12" s="185" t="n">
        <f aca="false">('Pipeline Co IS'!H17/365)*'Pipeline Co BS'!K83</f>
        <v>179750.136986301</v>
      </c>
      <c r="L12" s="185" t="n">
        <f aca="false">('Pipeline Co IS'!I17/365)*'Pipeline Co BS'!L83</f>
        <v>181998.180821918</v>
      </c>
      <c r="M12" s="185" t="n">
        <f aca="false">('Pipeline Co IS'!J17/365)*'Pipeline Co BS'!M83</f>
        <v>184278.935013699</v>
      </c>
      <c r="N12" s="185" t="n">
        <f aca="false">('Pipeline Co IS'!K17/365)*'Pipeline Co BS'!N83</f>
        <v>186592.967835616</v>
      </c>
      <c r="O12" s="185" t="n">
        <f aca="false">('Pipeline Co IS'!L17/365)*'Pipeline Co BS'!O83</f>
        <v>188940.859164953</v>
      </c>
      <c r="P12" s="185" t="n">
        <f aca="false">('Pipeline Co IS'!M17/365)*'Pipeline Co BS'!P83</f>
        <v>191323.200749661</v>
      </c>
      <c r="Q12" s="185" t="n">
        <f aca="false">('Pipeline Co IS'!N17/365)*'Pipeline Co BS'!Q83</f>
        <v>193740.596482405</v>
      </c>
      <c r="R12" s="185" t="n">
        <f aca="false">('Pipeline Co IS'!O17/365)*'Pipeline Co BS'!R83</f>
        <v>196193.662681481</v>
      </c>
      <c r="S12" s="185" t="n">
        <f aca="false">('Pipeline Co IS'!P17/365)*'Pipeline Co BS'!S83</f>
        <v>198683.028378767</v>
      </c>
      <c r="T12" s="185" t="n">
        <f aca="false">('Pipeline Co IS'!Q17/365)*'Pipeline Co BS'!T83</f>
        <v>201209.335614914</v>
      </c>
    </row>
    <row r="13" customFormat="false" ht="12.75" hidden="false" customHeight="false" outlineLevel="0" collapsed="false">
      <c r="A13" s="0" t="s">
        <v>419</v>
      </c>
      <c r="D13" s="822"/>
      <c r="E13" s="822" t="n">
        <v>22000</v>
      </c>
      <c r="F13" s="822" t="n">
        <v>71000</v>
      </c>
      <c r="G13" s="822" t="n">
        <v>58000</v>
      </c>
      <c r="H13" s="857" t="n">
        <v>0</v>
      </c>
      <c r="I13" s="857" t="n">
        <v>0</v>
      </c>
      <c r="J13" s="185" t="n">
        <f aca="false">G13+H13+I13</f>
        <v>58000</v>
      </c>
      <c r="K13" s="0" t="n">
        <f aca="false">('Pipeline Co IS'!H17*'Pipeline Co BS'!K84)</f>
        <v>27337</v>
      </c>
    </row>
    <row r="14" customFormat="false" ht="12.75" hidden="false" customHeight="false" outlineLevel="0" collapsed="false">
      <c r="A14" s="859" t="s">
        <v>420</v>
      </c>
      <c r="D14" s="822"/>
      <c r="E14" s="822" t="n">
        <v>34000</v>
      </c>
      <c r="F14" s="822" t="n">
        <v>21000</v>
      </c>
      <c r="G14" s="822" t="n">
        <v>20000</v>
      </c>
      <c r="H14" s="857" t="n">
        <v>0</v>
      </c>
      <c r="I14" s="857" t="n">
        <v>0</v>
      </c>
      <c r="J14" s="185" t="n">
        <f aca="false">G14+H14+I14</f>
        <v>20000</v>
      </c>
    </row>
    <row r="15" customFormat="false" ht="12.75" hidden="false" customHeight="false" outlineLevel="0" collapsed="false">
      <c r="A15" s="0" t="s">
        <v>421</v>
      </c>
      <c r="D15" s="822"/>
      <c r="E15" s="822" t="n">
        <v>11000</v>
      </c>
      <c r="F15" s="822" t="n">
        <v>12000</v>
      </c>
      <c r="G15" s="822" t="n">
        <v>8000</v>
      </c>
      <c r="H15" s="857" t="n">
        <v>0</v>
      </c>
      <c r="I15" s="857" t="n">
        <v>0</v>
      </c>
      <c r="J15" s="185" t="n">
        <f aca="false">G15+H15+I15</f>
        <v>8000</v>
      </c>
    </row>
    <row r="16" customFormat="false" ht="12.75" hidden="false" customHeight="false" outlineLevel="0" collapsed="false">
      <c r="A16" s="859" t="s">
        <v>422</v>
      </c>
      <c r="D16" s="822"/>
      <c r="E16" s="822" t="n">
        <v>85000</v>
      </c>
      <c r="F16" s="822" t="n">
        <v>162000</v>
      </c>
      <c r="G16" s="822" t="n">
        <v>310000</v>
      </c>
      <c r="H16" s="857" t="n">
        <v>0</v>
      </c>
      <c r="I16" s="857" t="n">
        <v>0</v>
      </c>
      <c r="J16" s="185" t="n">
        <f aca="false">G16+H16+I16</f>
        <v>310000</v>
      </c>
    </row>
    <row r="17" customFormat="false" ht="12.75" hidden="false" customHeight="false" outlineLevel="0" collapsed="false">
      <c r="A17" s="859" t="s">
        <v>423</v>
      </c>
      <c r="D17" s="822"/>
      <c r="E17" s="822" t="n">
        <v>8000</v>
      </c>
      <c r="F17" s="822" t="n">
        <v>21000</v>
      </c>
      <c r="G17" s="822" t="n">
        <v>20000</v>
      </c>
      <c r="H17" s="857" t="n">
        <v>0</v>
      </c>
      <c r="I17" s="857" t="n">
        <v>0</v>
      </c>
      <c r="J17" s="185" t="n">
        <f aca="false">G17+H17+I17</f>
        <v>20000</v>
      </c>
    </row>
    <row r="18" customFormat="false" ht="12.75" hidden="false" customHeight="false" outlineLevel="1" collapsed="false">
      <c r="A18" s="859" t="s">
        <v>424</v>
      </c>
      <c r="D18" s="822"/>
      <c r="E18" s="822" t="n">
        <v>0</v>
      </c>
      <c r="F18" s="822" t="n">
        <v>0</v>
      </c>
      <c r="G18" s="822" t="n">
        <v>0</v>
      </c>
      <c r="H18" s="857" t="n">
        <v>0</v>
      </c>
      <c r="I18" s="857" t="n">
        <v>0</v>
      </c>
      <c r="J18" s="185" t="n">
        <f aca="false">G18+H18+I18</f>
        <v>0</v>
      </c>
    </row>
    <row r="19" customFormat="false" ht="12.75" hidden="false" customHeight="false" outlineLevel="1" collapsed="false">
      <c r="A19" s="859" t="s">
        <v>425</v>
      </c>
      <c r="D19" s="822"/>
      <c r="E19" s="822" t="n">
        <v>0</v>
      </c>
      <c r="F19" s="822" t="n">
        <v>0</v>
      </c>
      <c r="G19" s="822" t="n">
        <v>0</v>
      </c>
      <c r="H19" s="857" t="n">
        <v>0</v>
      </c>
      <c r="I19" s="857" t="n">
        <v>0</v>
      </c>
      <c r="J19" s="185" t="n">
        <f aca="false">G19+H19+I19</f>
        <v>0</v>
      </c>
    </row>
    <row r="20" customFormat="false" ht="12.75" hidden="false" customHeight="false" outlineLevel="1" collapsed="false">
      <c r="A20" s="859" t="s">
        <v>426</v>
      </c>
      <c r="D20" s="822"/>
      <c r="E20" s="822" t="n">
        <v>0</v>
      </c>
      <c r="F20" s="822" t="n">
        <v>0</v>
      </c>
      <c r="G20" s="822" t="n">
        <v>0</v>
      </c>
      <c r="H20" s="857" t="n">
        <v>0</v>
      </c>
      <c r="I20" s="857" t="n">
        <v>0</v>
      </c>
      <c r="J20" s="185" t="n">
        <f aca="false">G20+H20+I20</f>
        <v>0</v>
      </c>
    </row>
    <row r="21" customFormat="false" ht="12.75" hidden="false" customHeight="false" outlineLevel="0" collapsed="false">
      <c r="A21" s="386" t="s">
        <v>427</v>
      </c>
      <c r="D21" s="860"/>
      <c r="E21" s="825" t="n">
        <f aca="false">SUM(E11:E20)</f>
        <v>272000</v>
      </c>
      <c r="F21" s="825" t="n">
        <f aca="false">SUM(F11:F20)</f>
        <v>427000</v>
      </c>
      <c r="G21" s="825" t="n">
        <f aca="false">SUM(G11:G20)</f>
        <v>587000</v>
      </c>
      <c r="H21" s="861"/>
      <c r="I21" s="862"/>
      <c r="J21" s="173" t="n">
        <f aca="false">SUM(J12:J20)</f>
        <v>587000</v>
      </c>
      <c r="K21" s="172"/>
      <c r="L21" s="172"/>
      <c r="M21" s="172"/>
      <c r="N21" s="172"/>
      <c r="O21" s="172"/>
      <c r="P21" s="172"/>
      <c r="Q21" s="172"/>
      <c r="R21" s="172"/>
      <c r="S21" s="172"/>
      <c r="T21" s="172"/>
    </row>
    <row r="22" customFormat="false" ht="12.75" hidden="false" customHeight="false" outlineLevel="0" collapsed="false">
      <c r="A22" s="386" t="s">
        <v>428</v>
      </c>
      <c r="D22" s="305"/>
      <c r="E22" s="305"/>
      <c r="F22" s="305"/>
      <c r="G22" s="305"/>
      <c r="H22" s="17"/>
      <c r="I22" s="639"/>
    </row>
    <row r="23" customFormat="false" ht="12.75" hidden="false" customHeight="false" outlineLevel="0" collapsed="false">
      <c r="A23" s="859" t="s">
        <v>429</v>
      </c>
      <c r="D23" s="822"/>
      <c r="E23" s="822" t="n">
        <v>1492000</v>
      </c>
      <c r="F23" s="822" t="n">
        <v>1679000</v>
      </c>
      <c r="G23" s="822" t="n">
        <v>1642000</v>
      </c>
      <c r="H23" s="17"/>
      <c r="I23" s="639"/>
    </row>
    <row r="24" customFormat="false" ht="12.75" hidden="false" customHeight="false" outlineLevel="0" collapsed="false">
      <c r="A24" s="863" t="s">
        <v>430</v>
      </c>
      <c r="D24" s="822"/>
      <c r="E24" s="822" t="n">
        <v>37000</v>
      </c>
      <c r="F24" s="822" t="n">
        <v>99000</v>
      </c>
      <c r="G24" s="822" t="n">
        <v>120000</v>
      </c>
      <c r="H24" s="17"/>
      <c r="I24" s="639"/>
    </row>
    <row r="25" customFormat="false" ht="12.75" hidden="false" customHeight="false" outlineLevel="0" collapsed="false">
      <c r="A25" s="863" t="s">
        <v>431</v>
      </c>
      <c r="D25" s="822"/>
      <c r="E25" s="822" t="n">
        <v>45000</v>
      </c>
      <c r="F25" s="822" t="n">
        <v>20000</v>
      </c>
      <c r="G25" s="822" t="n">
        <v>32000</v>
      </c>
      <c r="H25" s="17"/>
      <c r="I25" s="639"/>
    </row>
    <row r="26" customFormat="false" ht="12.75" hidden="false" customHeight="false" outlineLevel="0" collapsed="false">
      <c r="A26" s="863" t="s">
        <v>432</v>
      </c>
      <c r="D26" s="860"/>
      <c r="E26" s="825" t="n">
        <f aca="false">E23-E24+E25</f>
        <v>1500000</v>
      </c>
      <c r="F26" s="825" t="n">
        <f aca="false">F23-F24+F25</f>
        <v>1600000</v>
      </c>
      <c r="G26" s="825" t="n">
        <f aca="false">G23-G24+G25</f>
        <v>1554000</v>
      </c>
      <c r="H26" s="861"/>
      <c r="I26" s="86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</row>
    <row r="27" customFormat="false" ht="12.75" hidden="false" customHeight="false" outlineLevel="0" collapsed="false">
      <c r="A27" s="858" t="s">
        <v>433</v>
      </c>
      <c r="D27" s="822"/>
      <c r="E27" s="822" t="n">
        <v>774000</v>
      </c>
      <c r="F27" s="822" t="n">
        <v>753000</v>
      </c>
      <c r="G27" s="822" t="n">
        <v>723000</v>
      </c>
      <c r="H27" s="17"/>
      <c r="I27" s="639"/>
    </row>
    <row r="28" customFormat="false" ht="12.75" hidden="false" customHeight="false" outlineLevel="0" collapsed="false">
      <c r="A28" s="858" t="s">
        <v>434</v>
      </c>
      <c r="D28" s="822"/>
      <c r="E28" s="822" t="n">
        <v>11000</v>
      </c>
      <c r="F28" s="822" t="n">
        <v>11000</v>
      </c>
      <c r="G28" s="822" t="n">
        <v>10000</v>
      </c>
      <c r="H28" s="17"/>
      <c r="I28" s="639"/>
    </row>
    <row r="29" customFormat="false" ht="12.75" hidden="false" customHeight="false" outlineLevel="0" collapsed="false">
      <c r="A29" s="858" t="s">
        <v>435</v>
      </c>
      <c r="D29" s="822"/>
      <c r="E29" s="822" t="n">
        <v>1000</v>
      </c>
      <c r="F29" s="822" t="n">
        <v>8000</v>
      </c>
      <c r="G29" s="822" t="n">
        <v>73000</v>
      </c>
      <c r="H29" s="17"/>
      <c r="I29" s="639"/>
    </row>
    <row r="30" customFormat="false" ht="12.75" hidden="false" customHeight="false" outlineLevel="0" collapsed="false">
      <c r="A30" s="858" t="s">
        <v>436</v>
      </c>
      <c r="D30" s="822"/>
      <c r="E30" s="822" t="n">
        <v>2000</v>
      </c>
      <c r="F30" s="822" t="n">
        <v>7000</v>
      </c>
      <c r="G30" s="822" t="n">
        <v>63000</v>
      </c>
      <c r="H30" s="17"/>
      <c r="I30" s="639"/>
    </row>
    <row r="31" customFormat="false" ht="12.75" hidden="false" customHeight="false" outlineLevel="1" collapsed="false">
      <c r="A31" s="858" t="s">
        <v>437</v>
      </c>
      <c r="D31" s="822"/>
      <c r="E31" s="822" t="n">
        <v>0</v>
      </c>
      <c r="F31" s="822" t="n">
        <v>0</v>
      </c>
      <c r="G31" s="822" t="n">
        <v>0</v>
      </c>
      <c r="H31" s="17"/>
      <c r="I31" s="639"/>
    </row>
    <row r="32" customFormat="false" ht="12.75" hidden="false" customHeight="false" outlineLevel="1" collapsed="false">
      <c r="A32" s="858" t="s">
        <v>438</v>
      </c>
      <c r="D32" s="822"/>
      <c r="E32" s="822" t="n">
        <v>0</v>
      </c>
      <c r="F32" s="822" t="n">
        <v>0</v>
      </c>
      <c r="G32" s="822" t="n">
        <v>0</v>
      </c>
      <c r="H32" s="17"/>
      <c r="I32" s="639"/>
    </row>
    <row r="33" customFormat="false" ht="12.75" hidden="false" customHeight="false" outlineLevel="0" collapsed="false">
      <c r="A33" s="454" t="s">
        <v>439</v>
      </c>
      <c r="D33" s="864"/>
      <c r="E33" s="825" t="n">
        <f aca="false">E26+SUM(E27:E30)</f>
        <v>2288000</v>
      </c>
      <c r="F33" s="825" t="n">
        <f aca="false">F26+SUM(F27:F30)</f>
        <v>2379000</v>
      </c>
      <c r="G33" s="825" t="n">
        <f aca="false">G26+SUM(G27:G30)</f>
        <v>2423000</v>
      </c>
      <c r="H33" s="861"/>
      <c r="I33" s="862"/>
      <c r="J33" s="335"/>
      <c r="K33" s="335" t="n">
        <f aca="false">K26+SUM(K27:K29)</f>
        <v>0</v>
      </c>
      <c r="L33" s="335" t="n">
        <f aca="false">L26+SUM(L27:L29)</f>
        <v>0</v>
      </c>
      <c r="M33" s="197"/>
      <c r="N33" s="197"/>
      <c r="O33" s="197"/>
      <c r="P33" s="197"/>
      <c r="Q33" s="197"/>
      <c r="R33" s="197"/>
      <c r="S33" s="197"/>
      <c r="T33" s="197"/>
    </row>
    <row r="34" customFormat="false" ht="12.75" hidden="false" customHeight="false" outlineLevel="0" collapsed="false">
      <c r="A34" s="858"/>
      <c r="D34" s="305"/>
      <c r="E34" s="305"/>
      <c r="F34" s="305"/>
      <c r="G34" s="305"/>
      <c r="H34" s="17"/>
      <c r="I34" s="639"/>
    </row>
    <row r="35" customFormat="false" ht="13.5" hidden="false" customHeight="false" outlineLevel="0" collapsed="false">
      <c r="A35" s="865" t="s">
        <v>440</v>
      </c>
      <c r="D35" s="866"/>
      <c r="E35" s="867" t="n">
        <f aca="false">E21+E33</f>
        <v>2560000</v>
      </c>
      <c r="F35" s="867" t="n">
        <f aca="false">F21+F33</f>
        <v>2806000</v>
      </c>
      <c r="G35" s="868" t="n">
        <f aca="false">G21+G33</f>
        <v>3010000</v>
      </c>
      <c r="H35" s="869"/>
      <c r="I35" s="870"/>
      <c r="J35" s="871"/>
      <c r="K35" s="871"/>
      <c r="L35" s="871"/>
      <c r="M35" s="871"/>
      <c r="N35" s="871"/>
      <c r="O35" s="871"/>
      <c r="P35" s="871"/>
      <c r="Q35" s="871"/>
      <c r="R35" s="871"/>
      <c r="S35" s="871"/>
      <c r="T35" s="871"/>
    </row>
    <row r="36" customFormat="false" ht="13.5" hidden="false" customHeight="false" outlineLevel="0" collapsed="false">
      <c r="A36" s="865"/>
      <c r="D36" s="305"/>
      <c r="E36" s="305"/>
      <c r="F36" s="305"/>
      <c r="G36" s="305"/>
      <c r="H36" s="17"/>
      <c r="I36" s="639"/>
    </row>
    <row r="37" customFormat="false" ht="12.75" hidden="false" customHeight="false" outlineLevel="0" collapsed="false">
      <c r="A37" s="865" t="s">
        <v>441</v>
      </c>
      <c r="D37" s="305"/>
      <c r="E37" s="305"/>
      <c r="F37" s="305"/>
      <c r="G37" s="305"/>
      <c r="H37" s="17"/>
      <c r="I37" s="639"/>
    </row>
    <row r="38" customFormat="false" ht="12.75" hidden="false" customHeight="false" outlineLevel="0" collapsed="false">
      <c r="A38" s="856" t="s">
        <v>442</v>
      </c>
      <c r="D38" s="822"/>
      <c r="E38" s="822" t="n">
        <v>28000</v>
      </c>
      <c r="F38" s="822" t="n">
        <v>32000</v>
      </c>
      <c r="G38" s="822" t="n">
        <v>42000</v>
      </c>
      <c r="H38" s="17"/>
      <c r="I38" s="639"/>
    </row>
    <row r="39" customFormat="false" ht="12.75" hidden="false" customHeight="false" outlineLevel="0" collapsed="false">
      <c r="A39" s="859" t="s">
        <v>443</v>
      </c>
      <c r="D39" s="822"/>
      <c r="E39" s="822" t="n">
        <v>30000</v>
      </c>
      <c r="F39" s="822" t="n">
        <v>56000</v>
      </c>
      <c r="G39" s="822" t="n">
        <v>89000</v>
      </c>
      <c r="H39" s="17"/>
      <c r="I39" s="639"/>
    </row>
    <row r="40" customFormat="false" ht="12.75" hidden="false" customHeight="false" outlineLevel="0" collapsed="false">
      <c r="A40" s="859" t="s">
        <v>444</v>
      </c>
      <c r="D40" s="822"/>
      <c r="E40" s="822" t="n">
        <v>8000</v>
      </c>
      <c r="F40" s="822" t="n">
        <v>3000</v>
      </c>
      <c r="G40" s="822" t="n">
        <v>6000</v>
      </c>
      <c r="H40" s="17"/>
      <c r="I40" s="639"/>
    </row>
    <row r="41" customFormat="false" ht="12.75" hidden="false" customHeight="false" outlineLevel="0" collapsed="false">
      <c r="A41" s="859" t="s">
        <v>445</v>
      </c>
      <c r="D41" s="822"/>
      <c r="E41" s="822" t="n">
        <v>29000</v>
      </c>
      <c r="F41" s="822" t="n">
        <v>31000</v>
      </c>
      <c r="G41" s="822" t="n">
        <v>31000</v>
      </c>
      <c r="H41" s="17"/>
      <c r="I41" s="639"/>
    </row>
    <row r="42" customFormat="false" ht="12.75" hidden="false" customHeight="false" outlineLevel="0" collapsed="false">
      <c r="A42" s="859" t="s">
        <v>446</v>
      </c>
      <c r="D42" s="822"/>
      <c r="E42" s="822" t="n">
        <v>30000</v>
      </c>
      <c r="F42" s="822" t="n">
        <v>45000</v>
      </c>
      <c r="G42" s="822" t="n">
        <v>23000</v>
      </c>
      <c r="H42" s="17"/>
      <c r="I42" s="639"/>
    </row>
    <row r="43" customFormat="false" ht="12.75" hidden="false" customHeight="false" outlineLevel="0" collapsed="false">
      <c r="A43" s="859" t="s">
        <v>447</v>
      </c>
      <c r="D43" s="822"/>
      <c r="E43" s="822" t="n">
        <v>79000</v>
      </c>
      <c r="F43" s="822" t="n">
        <v>104000</v>
      </c>
      <c r="G43" s="822" t="n">
        <v>91000</v>
      </c>
      <c r="H43" s="17"/>
      <c r="I43" s="639"/>
    </row>
    <row r="44" customFormat="false" ht="12.75" hidden="false" customHeight="false" outlineLevel="1" collapsed="false">
      <c r="A44" s="859" t="s">
        <v>448</v>
      </c>
      <c r="D44" s="822"/>
      <c r="E44" s="822" t="n">
        <v>0</v>
      </c>
      <c r="F44" s="822" t="n">
        <v>0</v>
      </c>
      <c r="G44" s="305"/>
      <c r="H44" s="17"/>
      <c r="I44" s="639"/>
    </row>
    <row r="45" customFormat="false" ht="12.75" hidden="false" customHeight="false" outlineLevel="1" collapsed="false">
      <c r="A45" s="859" t="s">
        <v>449</v>
      </c>
      <c r="D45" s="822"/>
      <c r="E45" s="822" t="n">
        <v>0</v>
      </c>
      <c r="F45" s="822" t="n">
        <v>0</v>
      </c>
      <c r="G45" s="305"/>
      <c r="H45" s="17"/>
      <c r="I45" s="639"/>
    </row>
    <row r="46" customFormat="false" ht="12.75" hidden="false" customHeight="false" outlineLevel="1" collapsed="false">
      <c r="A46" s="859" t="s">
        <v>450</v>
      </c>
      <c r="D46" s="822"/>
      <c r="E46" s="822" t="n">
        <v>0</v>
      </c>
      <c r="F46" s="822" t="n">
        <v>0</v>
      </c>
      <c r="G46" s="305"/>
      <c r="H46" s="17"/>
      <c r="I46" s="639"/>
    </row>
    <row r="47" customFormat="false" ht="12.75" hidden="false" customHeight="false" outlineLevel="1" collapsed="false">
      <c r="A47" s="859" t="s">
        <v>451</v>
      </c>
      <c r="D47" s="822"/>
      <c r="E47" s="822" t="n">
        <v>0</v>
      </c>
      <c r="F47" s="822" t="n">
        <v>0</v>
      </c>
      <c r="G47" s="305"/>
      <c r="H47" s="17"/>
      <c r="I47" s="639"/>
    </row>
    <row r="48" customFormat="false" ht="12.75" hidden="false" customHeight="false" outlineLevel="0" collapsed="false">
      <c r="A48" s="412" t="s">
        <v>452</v>
      </c>
      <c r="D48" s="860"/>
      <c r="E48" s="334" t="n">
        <f aca="false">SUM(E38:E47)</f>
        <v>204000</v>
      </c>
      <c r="F48" s="334" t="n">
        <f aca="false">SUM(F38:F47)</f>
        <v>271000</v>
      </c>
      <c r="G48" s="334" t="n">
        <f aca="false">SUM(G38:G47)</f>
        <v>282000</v>
      </c>
      <c r="H48" s="861"/>
      <c r="I48" s="86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</row>
    <row r="49" customFormat="false" ht="12.75" hidden="false" customHeight="false" outlineLevel="0" collapsed="false">
      <c r="A49" s="412" t="s">
        <v>453</v>
      </c>
      <c r="D49" s="305"/>
      <c r="E49" s="305"/>
      <c r="F49" s="305"/>
      <c r="G49" s="305"/>
      <c r="H49" s="17"/>
      <c r="I49" s="639"/>
    </row>
    <row r="50" customFormat="false" ht="12.75" hidden="false" customHeight="false" outlineLevel="0" collapsed="false">
      <c r="A50" s="863" t="s">
        <v>454</v>
      </c>
      <c r="D50" s="305"/>
      <c r="E50" s="822" t="n">
        <v>1094000</v>
      </c>
      <c r="F50" s="822" t="n">
        <v>1193000</v>
      </c>
      <c r="G50" s="822" t="n">
        <v>1192000</v>
      </c>
      <c r="H50" s="17"/>
      <c r="I50" s="639"/>
    </row>
    <row r="51" customFormat="false" ht="12.75" hidden="false" customHeight="false" outlineLevel="0" collapsed="false">
      <c r="A51" s="727" t="s">
        <v>421</v>
      </c>
      <c r="D51" s="822"/>
      <c r="E51" s="822" t="n">
        <v>45000</v>
      </c>
      <c r="F51" s="822" t="n">
        <v>134000</v>
      </c>
      <c r="G51" s="822" t="n">
        <v>166000</v>
      </c>
      <c r="H51" s="17"/>
      <c r="I51" s="639"/>
    </row>
    <row r="52" customFormat="false" ht="12.75" hidden="false" customHeight="false" outlineLevel="0" collapsed="false">
      <c r="A52" s="859" t="s">
        <v>240</v>
      </c>
      <c r="D52" s="822"/>
      <c r="E52" s="822" t="n">
        <v>89000</v>
      </c>
      <c r="F52" s="822" t="n">
        <v>86000</v>
      </c>
      <c r="G52" s="822" t="n">
        <v>89000</v>
      </c>
      <c r="H52" s="17"/>
      <c r="I52" s="639"/>
    </row>
    <row r="53" customFormat="false" ht="12.75" hidden="false" customHeight="false" outlineLevel="1" collapsed="false">
      <c r="A53" s="859" t="s">
        <v>455</v>
      </c>
      <c r="D53" s="822"/>
      <c r="E53" s="822" t="n">
        <v>0</v>
      </c>
      <c r="F53" s="822" t="n">
        <v>0</v>
      </c>
      <c r="G53" s="305"/>
      <c r="H53" s="17"/>
      <c r="I53" s="639"/>
    </row>
    <row r="54" customFormat="false" ht="12.75" hidden="false" customHeight="false" outlineLevel="1" collapsed="false">
      <c r="A54" s="859" t="s">
        <v>456</v>
      </c>
      <c r="D54" s="822"/>
      <c r="E54" s="822" t="n">
        <v>0</v>
      </c>
      <c r="F54" s="822" t="n">
        <v>0</v>
      </c>
      <c r="G54" s="305"/>
      <c r="H54" s="17"/>
      <c r="I54" s="639"/>
    </row>
    <row r="55" customFormat="false" ht="12.75" hidden="false" customHeight="false" outlineLevel="1" collapsed="false">
      <c r="A55" s="732" t="s">
        <v>457</v>
      </c>
      <c r="D55" s="822"/>
      <c r="E55" s="822" t="n">
        <v>0</v>
      </c>
      <c r="F55" s="822" t="n">
        <v>0</v>
      </c>
      <c r="G55" s="305"/>
      <c r="H55" s="17"/>
      <c r="I55" s="639"/>
    </row>
    <row r="56" customFormat="false" ht="12.75" hidden="false" customHeight="false" outlineLevel="1" collapsed="false">
      <c r="A56" s="732" t="s">
        <v>458</v>
      </c>
      <c r="D56" s="822"/>
      <c r="E56" s="822" t="n">
        <v>0</v>
      </c>
      <c r="F56" s="822" t="n">
        <v>0</v>
      </c>
      <c r="G56" s="305"/>
      <c r="H56" s="17"/>
      <c r="I56" s="639"/>
    </row>
    <row r="57" customFormat="false" ht="12.75" hidden="false" customHeight="false" outlineLevel="1" collapsed="false">
      <c r="A57" s="732" t="s">
        <v>459</v>
      </c>
      <c r="D57" s="822"/>
      <c r="E57" s="822" t="n">
        <v>0</v>
      </c>
      <c r="F57" s="822" t="n">
        <v>0</v>
      </c>
      <c r="G57" s="305"/>
      <c r="H57" s="17"/>
      <c r="I57" s="639"/>
    </row>
    <row r="58" customFormat="false" ht="12.75" hidden="false" customHeight="false" outlineLevel="1" collapsed="false">
      <c r="A58" s="732" t="s">
        <v>460</v>
      </c>
      <c r="D58" s="822"/>
      <c r="E58" s="822" t="n">
        <v>0</v>
      </c>
      <c r="F58" s="822" t="n">
        <v>0</v>
      </c>
      <c r="G58" s="305"/>
      <c r="H58" s="17"/>
      <c r="I58" s="639"/>
    </row>
    <row r="59" customFormat="false" ht="12.75" hidden="false" customHeight="false" outlineLevel="1" collapsed="false">
      <c r="A59" s="732" t="s">
        <v>461</v>
      </c>
      <c r="D59" s="822"/>
      <c r="E59" s="822" t="n">
        <v>0</v>
      </c>
      <c r="F59" s="822" t="n">
        <v>0</v>
      </c>
      <c r="G59" s="305"/>
      <c r="H59" s="17"/>
      <c r="I59" s="639"/>
    </row>
    <row r="60" customFormat="false" ht="12.75" hidden="false" customHeight="false" outlineLevel="0" collapsed="false">
      <c r="A60" s="865" t="s">
        <v>462</v>
      </c>
      <c r="D60" s="864"/>
      <c r="E60" s="334" t="n">
        <f aca="false">SUM(E50:E59)</f>
        <v>1228000</v>
      </c>
      <c r="F60" s="334" t="n">
        <f aca="false">SUM(F50:F59)</f>
        <v>1413000</v>
      </c>
      <c r="G60" s="334" t="n">
        <f aca="false">SUM(G50:G59)</f>
        <v>1447000</v>
      </c>
      <c r="H60" s="861"/>
      <c r="I60" s="862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</row>
    <row r="61" customFormat="false" ht="12.75" hidden="false" customHeight="false" outlineLevel="0" collapsed="false">
      <c r="A61" s="865" t="s">
        <v>463</v>
      </c>
      <c r="D61" s="305"/>
      <c r="E61" s="305"/>
      <c r="F61" s="305"/>
      <c r="G61" s="305"/>
      <c r="H61" s="17"/>
      <c r="I61" s="639"/>
    </row>
    <row r="62" customFormat="false" ht="12.75" hidden="false" customHeight="false" outlineLevel="0" collapsed="false">
      <c r="A62" s="859" t="s">
        <v>464</v>
      </c>
      <c r="D62" s="305"/>
      <c r="E62" s="822" t="n">
        <v>1000</v>
      </c>
      <c r="F62" s="822" t="n">
        <v>1000</v>
      </c>
      <c r="G62" s="822" t="n">
        <v>1000</v>
      </c>
      <c r="H62" s="17"/>
      <c r="I62" s="639"/>
    </row>
    <row r="63" customFormat="false" ht="12.75" hidden="false" customHeight="false" outlineLevel="0" collapsed="false">
      <c r="A63" s="859" t="s">
        <v>465</v>
      </c>
      <c r="D63" s="305"/>
      <c r="E63" s="822" t="n">
        <v>1127000</v>
      </c>
      <c r="F63" s="822" t="n">
        <v>1127000</v>
      </c>
      <c r="G63" s="822" t="n">
        <v>1277000</v>
      </c>
      <c r="H63" s="17"/>
      <c r="I63" s="639"/>
    </row>
    <row r="64" customFormat="false" ht="12.75" hidden="false" customHeight="false" outlineLevel="0" collapsed="false">
      <c r="A64" s="859" t="s">
        <v>466</v>
      </c>
      <c r="D64" s="305"/>
      <c r="E64" s="822" t="n">
        <v>0</v>
      </c>
      <c r="F64" s="822" t="n">
        <v>-6000</v>
      </c>
      <c r="G64" s="822" t="n">
        <v>3000</v>
      </c>
      <c r="H64" s="17"/>
      <c r="I64" s="639"/>
    </row>
    <row r="65" customFormat="false" ht="12.75" hidden="false" customHeight="false" outlineLevel="1" collapsed="false">
      <c r="A65" s="859" t="s">
        <v>467</v>
      </c>
      <c r="D65" s="305"/>
      <c r="E65" s="822" t="n">
        <v>0</v>
      </c>
      <c r="F65" s="822" t="n">
        <v>0</v>
      </c>
      <c r="G65" s="305"/>
      <c r="H65" s="17"/>
      <c r="I65" s="639"/>
    </row>
    <row r="66" customFormat="false" ht="12.75" hidden="false" customHeight="false" outlineLevel="1" collapsed="false">
      <c r="A66" s="859" t="s">
        <v>468</v>
      </c>
      <c r="D66" s="305"/>
      <c r="E66" s="822" t="n">
        <v>0</v>
      </c>
      <c r="F66" s="822" t="n">
        <v>0</v>
      </c>
      <c r="G66" s="305"/>
      <c r="H66" s="17"/>
      <c r="I66" s="639"/>
    </row>
    <row r="67" customFormat="false" ht="12.75" hidden="false" customHeight="false" outlineLevel="1" collapsed="false">
      <c r="A67" s="859" t="s">
        <v>469</v>
      </c>
      <c r="D67" s="305"/>
      <c r="E67" s="822" t="n">
        <v>0</v>
      </c>
      <c r="F67" s="822" t="n">
        <v>0</v>
      </c>
      <c r="G67" s="305"/>
      <c r="H67" s="17"/>
      <c r="I67" s="639"/>
    </row>
    <row r="68" customFormat="false" ht="12.75" hidden="false" customHeight="false" outlineLevel="1" collapsed="false">
      <c r="A68" s="859" t="s">
        <v>470</v>
      </c>
      <c r="D68" s="305"/>
      <c r="E68" s="822" t="n">
        <v>0</v>
      </c>
      <c r="F68" s="822" t="n">
        <v>0</v>
      </c>
      <c r="G68" s="305"/>
      <c r="H68" s="17"/>
      <c r="I68" s="639"/>
    </row>
    <row r="69" customFormat="false" ht="12.75" hidden="false" customHeight="false" outlineLevel="1" collapsed="false">
      <c r="A69" s="859" t="s">
        <v>471</v>
      </c>
      <c r="D69" s="305"/>
      <c r="E69" s="822" t="n">
        <v>0</v>
      </c>
      <c r="F69" s="822" t="n">
        <v>0</v>
      </c>
      <c r="G69" s="305"/>
      <c r="H69" s="17"/>
      <c r="I69" s="639"/>
    </row>
    <row r="70" customFormat="false" ht="12.75" hidden="false" customHeight="false" outlineLevel="1" collapsed="false">
      <c r="A70" s="859" t="s">
        <v>472</v>
      </c>
      <c r="D70" s="305"/>
      <c r="E70" s="822" t="n">
        <v>0</v>
      </c>
      <c r="F70" s="822" t="n">
        <v>0</v>
      </c>
      <c r="G70" s="305"/>
      <c r="H70" s="17"/>
      <c r="I70" s="639"/>
    </row>
    <row r="71" customFormat="false" ht="12.75" hidden="false" customHeight="false" outlineLevel="1" collapsed="false">
      <c r="A71" s="859" t="s">
        <v>473</v>
      </c>
      <c r="D71" s="305"/>
      <c r="E71" s="822" t="n">
        <v>0</v>
      </c>
      <c r="F71" s="822" t="n">
        <v>0</v>
      </c>
      <c r="G71" s="305"/>
      <c r="H71" s="17"/>
      <c r="I71" s="639"/>
    </row>
    <row r="72" customFormat="false" ht="12.75" hidden="false" customHeight="false" outlineLevel="0" collapsed="false">
      <c r="A72" s="865" t="s">
        <v>474</v>
      </c>
      <c r="D72" s="860"/>
      <c r="E72" s="334" t="n">
        <f aca="false">SUM(E62:E71)</f>
        <v>1128000</v>
      </c>
      <c r="F72" s="334" t="n">
        <f aca="false">SUM(F62:F71)</f>
        <v>1122000</v>
      </c>
      <c r="G72" s="334" t="n">
        <f aca="false">SUM(G62:G71)</f>
        <v>1281000</v>
      </c>
      <c r="H72" s="861"/>
      <c r="I72" s="86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</row>
    <row r="73" customFormat="false" ht="12.75" hidden="false" customHeight="false" outlineLevel="0" collapsed="false">
      <c r="D73" s="305"/>
      <c r="E73" s="305"/>
      <c r="F73" s="305"/>
      <c r="G73" s="305"/>
      <c r="H73" s="17"/>
      <c r="I73" s="639"/>
    </row>
    <row r="74" customFormat="false" ht="13.5" hidden="false" customHeight="false" outlineLevel="0" collapsed="false">
      <c r="A74" s="386" t="s">
        <v>475</v>
      </c>
      <c r="D74" s="872"/>
      <c r="E74" s="873" t="n">
        <f aca="false">E60+E72+E48</f>
        <v>2560000</v>
      </c>
      <c r="F74" s="873" t="n">
        <f aca="false">F60+F72+F48</f>
        <v>2806000</v>
      </c>
      <c r="G74" s="873" t="n">
        <f aca="false">G60+G72+G48</f>
        <v>3010000</v>
      </c>
      <c r="H74" s="869"/>
      <c r="I74" s="870"/>
      <c r="J74" s="483"/>
      <c r="K74" s="483"/>
      <c r="L74" s="483"/>
      <c r="M74" s="483"/>
      <c r="N74" s="483"/>
      <c r="O74" s="483"/>
      <c r="P74" s="483"/>
      <c r="Q74" s="483"/>
      <c r="R74" s="483"/>
      <c r="S74" s="483"/>
      <c r="T74" s="483"/>
    </row>
    <row r="75" customFormat="false" ht="13.5" hidden="false" customHeight="false" outlineLevel="0" collapsed="false"/>
    <row r="76" customFormat="false" ht="12.75" hidden="false" customHeight="false" outlineLevel="1" collapsed="false">
      <c r="A76" s="0" t="s">
        <v>476</v>
      </c>
      <c r="D76" s="185" t="n">
        <f aca="false">D35-D74</f>
        <v>0</v>
      </c>
      <c r="E76" s="185" t="n">
        <f aca="false">E35-E74</f>
        <v>0</v>
      </c>
      <c r="F76" s="185" t="n">
        <f aca="false">F35-F74</f>
        <v>0</v>
      </c>
      <c r="G76" s="185" t="n">
        <f aca="false">G35-G74</f>
        <v>0</v>
      </c>
      <c r="H76" s="185" t="n">
        <f aca="false">K35-K74</f>
        <v>0</v>
      </c>
      <c r="I76" s="185" t="n">
        <f aca="false">L35-L74</f>
        <v>0</v>
      </c>
      <c r="J76" s="185" t="n">
        <f aca="false">M35-M74</f>
        <v>0</v>
      </c>
      <c r="K76" s="185" t="n">
        <f aca="false">N35-N74</f>
        <v>0</v>
      </c>
      <c r="L76" s="185" t="n">
        <f aca="false">O35-O74</f>
        <v>0</v>
      </c>
      <c r="M76" s="185" t="n">
        <f aca="false">P35-P74</f>
        <v>0</v>
      </c>
      <c r="N76" s="185" t="n">
        <f aca="false">Q35-Q74</f>
        <v>0</v>
      </c>
      <c r="O76" s="185" t="n">
        <f aca="false">R35-R74</f>
        <v>0</v>
      </c>
      <c r="P76" s="185" t="n">
        <f aca="false">S35-S74</f>
        <v>0</v>
      </c>
      <c r="Q76" s="185" t="n">
        <f aca="false">T35-T74</f>
        <v>0</v>
      </c>
    </row>
    <row r="79" customFormat="false" ht="15.75" hidden="false" customHeight="false" outlineLevel="0" collapsed="false">
      <c r="A79" s="284" t="s">
        <v>477</v>
      </c>
      <c r="B79" s="285"/>
      <c r="C79" s="85"/>
      <c r="D79" s="286"/>
      <c r="E79" s="286"/>
      <c r="F79" s="85"/>
      <c r="G79" s="287"/>
      <c r="H79" s="287"/>
      <c r="I79" s="287"/>
      <c r="J79" s="85"/>
      <c r="K79" s="85"/>
      <c r="L79" s="85"/>
      <c r="M79" s="85"/>
      <c r="N79" s="85"/>
      <c r="O79" s="85"/>
      <c r="P79" s="85"/>
      <c r="Q79" s="85"/>
      <c r="R79" s="85"/>
      <c r="S79" s="152"/>
      <c r="T79" s="152"/>
    </row>
    <row r="80" customFormat="false" ht="12.75" hidden="false" customHeight="false" outlineLevel="0" collapsed="false">
      <c r="D80" s="292"/>
      <c r="E80" s="292"/>
      <c r="F80" s="293"/>
      <c r="G80" s="294" t="s">
        <v>156</v>
      </c>
      <c r="H80" s="295"/>
      <c r="I80" s="293"/>
      <c r="J80" s="293"/>
      <c r="K80" s="296"/>
      <c r="L80" s="293"/>
      <c r="M80" s="296"/>
      <c r="N80" s="296"/>
      <c r="O80" s="296"/>
      <c r="P80" s="296"/>
      <c r="Q80" s="75"/>
    </row>
    <row r="81" customFormat="false" ht="12.75" hidden="false" customHeight="false" outlineLevel="0" collapsed="false">
      <c r="D81" s="297" t="n">
        <v>1998</v>
      </c>
      <c r="E81" s="297" t="n">
        <v>1999</v>
      </c>
      <c r="F81" s="297" t="n">
        <v>2000</v>
      </c>
      <c r="G81" s="297" t="n">
        <v>2001</v>
      </c>
      <c r="H81" s="852"/>
      <c r="I81" s="852"/>
      <c r="J81" s="298" t="s">
        <v>413</v>
      </c>
      <c r="K81" s="298" t="n">
        <v>2002</v>
      </c>
      <c r="L81" s="298" t="n">
        <v>2003</v>
      </c>
      <c r="M81" s="298" t="n">
        <v>2004</v>
      </c>
      <c r="N81" s="298" t="n">
        <v>2005</v>
      </c>
      <c r="O81" s="298" t="n">
        <v>2006</v>
      </c>
      <c r="P81" s="299" t="n">
        <v>2007</v>
      </c>
      <c r="Q81" s="299" t="n">
        <v>2008</v>
      </c>
      <c r="R81" s="299" t="n">
        <v>2009</v>
      </c>
      <c r="S81" s="299" t="n">
        <v>2010</v>
      </c>
      <c r="T81" s="300" t="n">
        <v>2011</v>
      </c>
    </row>
    <row r="82" customFormat="false" ht="12.75" hidden="false" customHeight="false" outlineLevel="0" collapsed="false">
      <c r="D82" s="204"/>
      <c r="E82" s="204"/>
      <c r="F82" s="301" t="s">
        <v>157</v>
      </c>
      <c r="G82" s="297" t="n">
        <v>1</v>
      </c>
      <c r="H82" s="853"/>
      <c r="I82" s="854"/>
      <c r="J82" s="298" t="n">
        <v>1</v>
      </c>
      <c r="K82" s="298" t="n">
        <v>2</v>
      </c>
      <c r="L82" s="298" t="n">
        <v>3</v>
      </c>
      <c r="M82" s="298" t="n">
        <v>4</v>
      </c>
      <c r="N82" s="298" t="n">
        <v>5</v>
      </c>
      <c r="O82" s="298" t="n">
        <v>6</v>
      </c>
      <c r="P82" s="298" t="n">
        <v>7</v>
      </c>
      <c r="Q82" s="298" t="n">
        <v>8</v>
      </c>
      <c r="R82" s="298" t="n">
        <v>9</v>
      </c>
      <c r="S82" s="298" t="n">
        <v>10</v>
      </c>
      <c r="T82" s="302" t="n">
        <v>11</v>
      </c>
    </row>
    <row r="83" customFormat="false" ht="12.75" hidden="false" customHeight="false" outlineLevel="0" collapsed="false">
      <c r="A83" s="0" t="s">
        <v>478</v>
      </c>
      <c r="J83" s="874"/>
      <c r="K83" s="842" t="n">
        <v>120</v>
      </c>
      <c r="L83" s="842" t="n">
        <v>120</v>
      </c>
      <c r="M83" s="842" t="n">
        <v>120</v>
      </c>
      <c r="N83" s="842" t="n">
        <v>120</v>
      </c>
      <c r="O83" s="842" t="n">
        <v>120</v>
      </c>
      <c r="P83" s="842" t="n">
        <v>120</v>
      </c>
      <c r="Q83" s="842" t="n">
        <v>120</v>
      </c>
      <c r="R83" s="842" t="n">
        <v>120</v>
      </c>
      <c r="S83" s="842" t="n">
        <v>120</v>
      </c>
      <c r="T83" s="842" t="n">
        <v>120</v>
      </c>
    </row>
    <row r="84" customFormat="false" ht="12.75" hidden="false" customHeight="false" outlineLevel="0" collapsed="false">
      <c r="A84" s="0" t="s">
        <v>479</v>
      </c>
      <c r="J84" s="874"/>
      <c r="K84" s="93" t="n">
        <v>0.05</v>
      </c>
      <c r="L84" s="93" t="n">
        <v>0.05</v>
      </c>
      <c r="M84" s="93" t="n">
        <v>0.05</v>
      </c>
      <c r="N84" s="93" t="n">
        <v>0.05</v>
      </c>
      <c r="O84" s="93" t="n">
        <v>0.05</v>
      </c>
      <c r="P84" s="93" t="n">
        <v>0.05</v>
      </c>
      <c r="Q84" s="93" t="n">
        <v>0.05</v>
      </c>
      <c r="R84" s="93" t="n">
        <v>0.05</v>
      </c>
      <c r="S84" s="93" t="n">
        <v>0.05</v>
      </c>
      <c r="T84" s="93" t="n">
        <v>0.05</v>
      </c>
    </row>
    <row r="85" customFormat="false" ht="12.75" hidden="false" customHeight="false" outlineLevel="0" collapsed="false">
      <c r="A85" s="0" t="s">
        <v>480</v>
      </c>
      <c r="J85" s="874"/>
      <c r="K85" s="842" t="n">
        <v>30</v>
      </c>
      <c r="L85" s="842" t="n">
        <v>30</v>
      </c>
      <c r="M85" s="842" t="n">
        <v>30</v>
      </c>
      <c r="N85" s="842" t="n">
        <v>30</v>
      </c>
      <c r="O85" s="842" t="n">
        <v>30</v>
      </c>
      <c r="P85" s="842" t="n">
        <v>30</v>
      </c>
      <c r="Q85" s="842" t="n">
        <v>30</v>
      </c>
      <c r="R85" s="842" t="n">
        <v>30</v>
      </c>
      <c r="S85" s="842" t="n">
        <v>30</v>
      </c>
      <c r="T85" s="842" t="n">
        <v>30</v>
      </c>
    </row>
    <row r="86" customFormat="false" ht="12.75" hidden="false" customHeight="false" outlineLevel="0" collapsed="false">
      <c r="A86" s="0" t="s">
        <v>481</v>
      </c>
      <c r="J86" s="874"/>
      <c r="K86" s="842" t="n">
        <v>60</v>
      </c>
      <c r="L86" s="842" t="n">
        <v>60</v>
      </c>
      <c r="M86" s="842" t="n">
        <v>60</v>
      </c>
      <c r="N86" s="842" t="n">
        <v>60</v>
      </c>
      <c r="O86" s="842" t="n">
        <v>60</v>
      </c>
      <c r="P86" s="842" t="n">
        <v>60</v>
      </c>
      <c r="Q86" s="842" t="n">
        <v>60</v>
      </c>
      <c r="R86" s="842" t="n">
        <v>60</v>
      </c>
      <c r="S86" s="842" t="n">
        <v>60</v>
      </c>
      <c r="T86" s="842" t="n">
        <v>60</v>
      </c>
    </row>
    <row r="87" customFormat="false" ht="12.75" hidden="false" customHeight="false" outlineLevel="0" collapsed="false">
      <c r="A87" s="0" t="s">
        <v>482</v>
      </c>
      <c r="J87" s="874"/>
      <c r="K87" s="842" t="n">
        <v>45</v>
      </c>
      <c r="L87" s="842" t="n">
        <v>45</v>
      </c>
      <c r="M87" s="842" t="n">
        <v>45</v>
      </c>
      <c r="N87" s="842" t="n">
        <v>45</v>
      </c>
      <c r="O87" s="842" t="n">
        <v>45</v>
      </c>
      <c r="P87" s="842" t="n">
        <v>45</v>
      </c>
      <c r="Q87" s="842" t="n">
        <v>45</v>
      </c>
      <c r="R87" s="842" t="n">
        <v>45</v>
      </c>
      <c r="S87" s="842" t="n">
        <v>45</v>
      </c>
      <c r="T87" s="842" t="n">
        <v>45</v>
      </c>
    </row>
  </sheetData>
  <mergeCells count="2">
    <mergeCell ref="H8:I8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0"/>
      <c r="D1" s="12"/>
    </row>
    <row r="2" customFormat="false" ht="15.75" hidden="false" customHeight="false" outlineLevel="0" collapsed="false">
      <c r="A2" s="440" t="str">
        <f aca="false">'Org Chart'!B5</f>
        <v>Northern Natural</v>
      </c>
      <c r="B2" s="441"/>
      <c r="C2" s="16"/>
      <c r="D2" s="18"/>
    </row>
    <row r="3" customFormat="false" ht="16.5" hidden="false" customHeight="false" outlineLevel="0" collapsed="false">
      <c r="A3" s="445" t="s">
        <v>483</v>
      </c>
      <c r="B3" s="446"/>
      <c r="C3" s="28"/>
      <c r="D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2.99"/>
    <col collapsed="false" customWidth="true" hidden="false" outlineLevel="0" max="3" min="3" style="0" width="13.99"/>
    <col collapsed="false" customWidth="true" hidden="false" outlineLevel="0" max="4" min="4" style="0" width="10.56"/>
    <col collapsed="false" customWidth="true" hidden="false" outlineLevel="0" max="18" min="5" style="0" width="11.7"/>
  </cols>
  <sheetData>
    <row r="1" customFormat="false" ht="18" hidden="false" customHeight="false" outlineLevel="0" collapsed="false">
      <c r="A1" s="629" t="str">
        <f aca="false">Assumptions!D6</f>
        <v>ETS</v>
      </c>
      <c r="B1" s="630"/>
      <c r="C1" s="10"/>
      <c r="D1" s="10"/>
      <c r="E1" s="12"/>
    </row>
    <row r="2" customFormat="false" ht="16.5" hidden="false" customHeight="false" outlineLevel="0" collapsed="false">
      <c r="A2" s="58" t="s">
        <v>484</v>
      </c>
      <c r="B2" s="633"/>
      <c r="C2" s="28"/>
      <c r="D2" s="28"/>
      <c r="E2" s="30"/>
    </row>
    <row r="4" customFormat="false" ht="18" hidden="false" customHeight="false" outlineLevel="0" collapsed="false">
      <c r="A4" s="31" t="s">
        <v>485</v>
      </c>
    </row>
    <row r="6" customFormat="false" ht="12.75" hidden="false" customHeight="false" outlineLevel="0" collapsed="false">
      <c r="A6" s="0" t="s">
        <v>486</v>
      </c>
    </row>
    <row r="8" customFormat="false" ht="18" hidden="false" customHeight="false" outlineLevel="0" collapsed="false">
      <c r="A8" s="31" t="s">
        <v>487</v>
      </c>
      <c r="B8" s="386"/>
    </row>
    <row r="9" customFormat="false" ht="15.75" hidden="false" customHeight="false" outlineLevel="0" collapsed="false">
      <c r="A9" s="284" t="s">
        <v>484</v>
      </c>
      <c r="B9" s="8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customFormat="false" ht="12.75" hidden="false" customHeight="false" outlineLevel="0" collapsed="false">
      <c r="A10" s="0" t="s">
        <v>488</v>
      </c>
      <c r="E10" s="292"/>
      <c r="F10" s="292"/>
      <c r="G10" s="293"/>
      <c r="H10" s="294" t="s">
        <v>156</v>
      </c>
      <c r="I10" s="295"/>
      <c r="J10" s="293"/>
      <c r="K10" s="293"/>
      <c r="L10" s="296"/>
      <c r="M10" s="293"/>
      <c r="N10" s="296"/>
      <c r="O10" s="296"/>
      <c r="P10" s="296"/>
      <c r="Q10" s="296"/>
      <c r="R10" s="75"/>
    </row>
    <row r="11" customFormat="false" ht="12.75" hidden="false" customHeight="false" outlineLevel="0" collapsed="false">
      <c r="A11" s="0" t="s">
        <v>489</v>
      </c>
      <c r="E11" s="297" t="n">
        <v>1998</v>
      </c>
      <c r="F11" s="297" t="n">
        <v>1999</v>
      </c>
      <c r="G11" s="297" t="n">
        <v>2000</v>
      </c>
      <c r="H11" s="297" t="n">
        <v>2001</v>
      </c>
      <c r="I11" s="298" t="n">
        <v>2002</v>
      </c>
      <c r="J11" s="298" t="n">
        <v>2003</v>
      </c>
      <c r="K11" s="298" t="n">
        <v>2004</v>
      </c>
      <c r="L11" s="298" t="n">
        <v>2005</v>
      </c>
      <c r="M11" s="298" t="n">
        <v>2006</v>
      </c>
      <c r="N11" s="299" t="n">
        <v>2007</v>
      </c>
      <c r="O11" s="299" t="n">
        <v>2008</v>
      </c>
      <c r="P11" s="299" t="n">
        <v>2009</v>
      </c>
      <c r="Q11" s="299" t="n">
        <v>2010</v>
      </c>
      <c r="R11" s="300" t="n">
        <v>2011</v>
      </c>
    </row>
    <row r="12" customFormat="false" ht="12.75" hidden="false" customHeight="false" outlineLevel="0" collapsed="false">
      <c r="D12" s="386" t="s">
        <v>490</v>
      </c>
      <c r="E12" s="204"/>
      <c r="F12" s="204"/>
      <c r="G12" s="526" t="s">
        <v>157</v>
      </c>
      <c r="H12" s="297" t="n">
        <v>1</v>
      </c>
      <c r="I12" s="298" t="n">
        <v>2</v>
      </c>
      <c r="J12" s="298" t="n">
        <v>3</v>
      </c>
      <c r="K12" s="298" t="n">
        <v>4</v>
      </c>
      <c r="L12" s="298" t="n">
        <v>5</v>
      </c>
      <c r="M12" s="298" t="n">
        <v>6</v>
      </c>
      <c r="N12" s="298" t="n">
        <v>7</v>
      </c>
      <c r="O12" s="298" t="n">
        <v>8</v>
      </c>
      <c r="P12" s="298" t="n">
        <v>9</v>
      </c>
      <c r="Q12" s="298" t="n">
        <v>10</v>
      </c>
      <c r="R12" s="302" t="n">
        <v>11</v>
      </c>
    </row>
    <row r="13" customFormat="false" ht="12.75" hidden="false" customHeight="false" outlineLevel="0" collapsed="false">
      <c r="A13" s="386" t="s">
        <v>491</v>
      </c>
      <c r="E13" s="204"/>
      <c r="F13" s="204"/>
      <c r="G13" s="526"/>
      <c r="H13" s="413"/>
      <c r="I13" s="795"/>
      <c r="J13" s="795"/>
      <c r="K13" s="795"/>
      <c r="L13" s="795"/>
      <c r="M13" s="795"/>
      <c r="N13" s="795"/>
      <c r="O13" s="795"/>
      <c r="P13" s="795"/>
      <c r="Q13" s="795"/>
      <c r="R13" s="597"/>
    </row>
    <row r="14" customFormat="false" ht="12.75" hidden="false" customHeight="false" outlineLevel="0" collapsed="false">
      <c r="B14" s="0" t="s">
        <v>492</v>
      </c>
      <c r="D14" s="875" t="n">
        <v>1</v>
      </c>
      <c r="E14" s="470"/>
      <c r="F14" s="876" t="n">
        <v>117600</v>
      </c>
      <c r="G14" s="876" t="n">
        <v>116600</v>
      </c>
      <c r="H14" s="347" t="n">
        <f aca="false">IF($D$14=1,G14*Curves!D17,0)</f>
        <v>118932</v>
      </c>
      <c r="I14" s="347" t="n">
        <f aca="false">IF($D$14=1,H14*Curves!E17,0)</f>
        <v>121310.64</v>
      </c>
      <c r="J14" s="347" t="n">
        <f aca="false">IF($D$14=1,I14*Curves!F17,0)</f>
        <v>123736.8528</v>
      </c>
      <c r="K14" s="347" t="n">
        <f aca="false">IF($D$14=1,J14*Curves!G17,0)</f>
        <v>126211.589856</v>
      </c>
      <c r="L14" s="347" t="n">
        <f aca="false">IF($D$14=1,K14*Curves!H17,0)</f>
        <v>128735.82165312</v>
      </c>
      <c r="M14" s="347" t="n">
        <f aca="false">IF($D$14=1,L14*Curves!I17,0)</f>
        <v>131310.538086182</v>
      </c>
      <c r="N14" s="347" t="n">
        <f aca="false">IF($D$14=1,M14*Curves!J17,0)</f>
        <v>133936.748847906</v>
      </c>
      <c r="O14" s="347" t="n">
        <f aca="false">IF($D$14=1,N14*Curves!K17,0)</f>
        <v>136615.483824864</v>
      </c>
      <c r="P14" s="347" t="n">
        <f aca="false">IF($D$14=1,O14*Curves!L17,0)</f>
        <v>139347.793501361</v>
      </c>
      <c r="Q14" s="347" t="n">
        <f aca="false">IF($D$14=1,P14*Curves!M17,0)</f>
        <v>142134.749371389</v>
      </c>
      <c r="R14" s="347" t="n">
        <f aca="false">IF($D$14=1,Q14*Curves!N17,0)</f>
        <v>144977.444358817</v>
      </c>
    </row>
    <row r="15" customFormat="false" ht="12.75" hidden="false" customHeight="false" outlineLevel="0" collapsed="false">
      <c r="B15" s="0" t="s">
        <v>493</v>
      </c>
      <c r="D15" s="877" t="n">
        <v>1</v>
      </c>
      <c r="E15" s="878"/>
      <c r="F15" s="876" t="n">
        <v>135900</v>
      </c>
      <c r="G15" s="876" t="n">
        <v>158600</v>
      </c>
      <c r="H15" s="347" t="n">
        <f aca="false">IF($D$15=1,G15*Curves!D18,0)</f>
        <v>163358</v>
      </c>
      <c r="I15" s="347" t="n">
        <f aca="false">IF($D$15=1,H15*Curves!E18,0)</f>
        <v>168258.74</v>
      </c>
      <c r="J15" s="347" t="n">
        <f aca="false">IF($D$15=1,I15*Curves!F18,0)</f>
        <v>173306.5022</v>
      </c>
      <c r="K15" s="347" t="n">
        <f aca="false">IF($D$15=1,J15*Curves!G18,0)</f>
        <v>180238.762288</v>
      </c>
      <c r="L15" s="347" t="n">
        <f aca="false">IF($D$15=1,K15*Curves!H18,0)</f>
        <v>189250.7004024</v>
      </c>
      <c r="M15" s="347" t="n">
        <f aca="false">IF($D$15=1,L15*Curves!I18,0)</f>
        <v>198713.23542252</v>
      </c>
      <c r="N15" s="347" t="n">
        <f aca="false">IF($D$15=1,M15*Curves!J18,0)</f>
        <v>208648.897193646</v>
      </c>
      <c r="O15" s="347" t="n">
        <f aca="false">IF($D$15=1,N15*Curves!K18,0)</f>
        <v>219081.342053328</v>
      </c>
      <c r="P15" s="347" t="n">
        <f aca="false">IF($D$15=1,O15*Curves!L18,0)</f>
        <v>230035.409155995</v>
      </c>
      <c r="Q15" s="347" t="n">
        <f aca="false">IF($D$15=1,P15*Curves!M18,0)</f>
        <v>236936.471430675</v>
      </c>
      <c r="R15" s="347" t="n">
        <f aca="false">IF($D$15=1,Q15*Curves!N18,0)</f>
        <v>244044.565573595</v>
      </c>
    </row>
    <row r="16" customFormat="false" ht="12.75" hidden="false" customHeight="false" outlineLevel="0" collapsed="false">
      <c r="A16" s="386" t="s">
        <v>494</v>
      </c>
      <c r="E16" s="307"/>
      <c r="F16" s="879"/>
      <c r="G16" s="879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customFormat="false" ht="12.75" hidden="false" customHeight="false" outlineLevel="0" collapsed="false">
      <c r="B17" s="0" t="s">
        <v>495</v>
      </c>
      <c r="D17" s="875" t="n">
        <v>1</v>
      </c>
      <c r="E17" s="307"/>
      <c r="F17" s="879"/>
      <c r="G17" s="879"/>
      <c r="H17" s="833" t="n">
        <f aca="false">IF(D17=1,5700*Curves!D25,0)</f>
        <v>5700</v>
      </c>
      <c r="I17" s="833" t="n">
        <f aca="false">IF(D17=1,68200*Curves!E25,0)</f>
        <v>68200</v>
      </c>
      <c r="J17" s="347" t="n">
        <f aca="false">IF($D$17=1,I17*Curves!F19*Curves!F25,0)</f>
        <v>68882</v>
      </c>
      <c r="K17" s="347" t="n">
        <f aca="false">IF($D$17=1,J17*Curves!G19*Curves!G25,0)</f>
        <v>69570.82</v>
      </c>
      <c r="L17" s="347" t="n">
        <f aca="false">IF($D$17=1,K17*Curves!H19*Curves!H25,0)</f>
        <v>70266.5282</v>
      </c>
      <c r="M17" s="347" t="n">
        <f aca="false">IF($D$17=1,L17*Curves!I19*Curves!I25,0)</f>
        <v>70969.193482</v>
      </c>
      <c r="N17" s="347" t="n">
        <f aca="false">IF($D$17=1,M17*Curves!J19*Curves!J25,0)</f>
        <v>71678.88541682</v>
      </c>
      <c r="O17" s="347" t="n">
        <f aca="false">IF($D$17=1,N17*Curves!K19*Curves!K25,0)</f>
        <v>72395.6742709882</v>
      </c>
      <c r="P17" s="347" t="n">
        <f aca="false">IF($D$17=1,O17*Curves!L19*Curves!L25,0)</f>
        <v>73119.6310136981</v>
      </c>
      <c r="Q17" s="347" t="n">
        <f aca="false">IF($D$17=1,P17*Curves!M19*Curves!M25,0)</f>
        <v>73850.8273238351</v>
      </c>
      <c r="R17" s="347" t="n">
        <f aca="false">IF($D$17=1,Q17*Curves!N19*Curves!N25,0)</f>
        <v>74589.3355970734</v>
      </c>
    </row>
    <row r="18" customFormat="false" ht="12.75" hidden="false" customHeight="false" outlineLevel="0" collapsed="false">
      <c r="B18" s="0" t="s">
        <v>496</v>
      </c>
      <c r="D18" s="880" t="n">
        <v>0</v>
      </c>
      <c r="E18" s="307"/>
      <c r="F18" s="879"/>
      <c r="G18" s="879"/>
      <c r="H18" s="833" t="n">
        <v>0</v>
      </c>
      <c r="I18" s="833" t="n">
        <f aca="false">IF(D18=1,38300*Curves!E26,0)</f>
        <v>0</v>
      </c>
      <c r="J18" s="833" t="n">
        <f aca="false">IF(D18=1,76700*Curves!F26,0)</f>
        <v>0</v>
      </c>
      <c r="K18" s="347" t="n">
        <f aca="false">IF($D$18=1,J18*Curves!G20*Curves!G26,0)</f>
        <v>0</v>
      </c>
      <c r="L18" s="347" t="n">
        <f aca="false">IF($D$18=1,K18*Curves!H20*Curves!H26,0)</f>
        <v>0</v>
      </c>
      <c r="M18" s="347" t="n">
        <f aca="false">IF($D$18=1,L18*Curves!I20*Curves!I26,0)</f>
        <v>0</v>
      </c>
      <c r="N18" s="347" t="n">
        <f aca="false">IF($D$18=1,M18*Curves!J20*Curves!J26,0)</f>
        <v>0</v>
      </c>
      <c r="O18" s="347" t="n">
        <f aca="false">IF($D$18=1,N18*Curves!K20*Curves!K26,0)</f>
        <v>0</v>
      </c>
      <c r="P18" s="347" t="n">
        <f aca="false">IF($D$18=1,O18*Curves!L20*Curves!L26,0)</f>
        <v>0</v>
      </c>
      <c r="Q18" s="347" t="n">
        <f aca="false">IF($D$18=1,P18*Curves!M20*Curves!M26,0)</f>
        <v>0</v>
      </c>
      <c r="R18" s="347" t="n">
        <f aca="false">IF($D$18=1,Q18*Curves!N20*Curves!N26,0)</f>
        <v>0</v>
      </c>
    </row>
    <row r="19" customFormat="false" ht="12.75" hidden="false" customHeight="false" outlineLevel="0" collapsed="false">
      <c r="B19" s="0" t="s">
        <v>497</v>
      </c>
      <c r="D19" s="877" t="n">
        <v>1</v>
      </c>
      <c r="E19" s="881"/>
      <c r="F19" s="882"/>
      <c r="G19" s="882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customFormat="false" ht="12.75" hidden="false" customHeight="false" outlineLevel="0" collapsed="false">
      <c r="A20" s="386" t="s">
        <v>498</v>
      </c>
      <c r="E20" s="310"/>
      <c r="F20" s="883" t="n">
        <f aca="false">SUM(F14:F19)</f>
        <v>253500</v>
      </c>
      <c r="G20" s="883" t="n">
        <f aca="false">SUM(G14:G19)</f>
        <v>275200</v>
      </c>
      <c r="H20" s="349" t="n">
        <f aca="false">SUM(H14:H19)</f>
        <v>287990</v>
      </c>
      <c r="I20" s="349" t="n">
        <f aca="false">SUM(I14:I19)</f>
        <v>357769.38</v>
      </c>
      <c r="J20" s="349" t="n">
        <f aca="false">SUM(J14:J19)</f>
        <v>365925.355</v>
      </c>
      <c r="K20" s="349" t="n">
        <f aca="false">SUM(K14:K19)</f>
        <v>376021.172144</v>
      </c>
      <c r="L20" s="349" t="n">
        <f aca="false">SUM(L14:L19)</f>
        <v>388253.05025552</v>
      </c>
      <c r="M20" s="349" t="n">
        <f aca="false">SUM(M14:M19)</f>
        <v>400992.966990702</v>
      </c>
      <c r="N20" s="349" t="n">
        <f aca="false">SUM(N14:N19)</f>
        <v>414264.531458372</v>
      </c>
      <c r="O20" s="349" t="n">
        <f aca="false">SUM(O14:O19)</f>
        <v>428092.500149181</v>
      </c>
      <c r="P20" s="349" t="n">
        <f aca="false">SUM(P14:P19)</f>
        <v>442502.833671054</v>
      </c>
      <c r="Q20" s="349" t="n">
        <f aca="false">SUM(Q14:Q19)</f>
        <v>452922.048125898</v>
      </c>
      <c r="R20" s="349" t="n">
        <f aca="false">SUM(R14:R19)</f>
        <v>463611.345529485</v>
      </c>
    </row>
    <row r="21" customFormat="false" ht="12.75" hidden="false" customHeight="false" outlineLevel="0" collapsed="false">
      <c r="D21" s="75"/>
      <c r="E21" s="305"/>
      <c r="F21" s="305"/>
      <c r="G21" s="305"/>
    </row>
    <row r="22" customFormat="false" ht="12.75" hidden="false" customHeight="false" outlineLevel="0" collapsed="false">
      <c r="A22" s="386" t="s">
        <v>499</v>
      </c>
      <c r="D22" s="877" t="n">
        <v>1</v>
      </c>
      <c r="E22" s="305"/>
      <c r="F22" s="305"/>
      <c r="G22" s="822" t="n">
        <v>117500</v>
      </c>
      <c r="H22" s="187" t="n">
        <f aca="false">IF($D$22=1,G22*Curves!D22,0)</f>
        <v>123375</v>
      </c>
      <c r="I22" s="187" t="n">
        <f aca="false">IF($D$22=1,H22*Curves!E22,0)</f>
        <v>129543.75</v>
      </c>
      <c r="J22" s="187" t="n">
        <f aca="false">IF($D$22=1,I22*Curves!F22,0)</f>
        <v>136020.9375</v>
      </c>
      <c r="K22" s="187" t="n">
        <f aca="false">IF($D$22=1,J22*Curves!G22,0)</f>
        <v>142821.984375</v>
      </c>
      <c r="L22" s="187" t="n">
        <f aca="false">IF($D$22=1,K22*Curves!H22,0)</f>
        <v>149963.08359375</v>
      </c>
      <c r="M22" s="187" t="n">
        <f aca="false">IF($D$22=1,L22*Curves!I22,0)</f>
        <v>157461.237773438</v>
      </c>
      <c r="N22" s="187" t="n">
        <f aca="false">IF($D$22=1,M22*Curves!J22,0)</f>
        <v>162185.074906641</v>
      </c>
      <c r="O22" s="187" t="n">
        <f aca="false">IF($D$22=1,N22*Curves!K22,0)</f>
        <v>167050.62715384</v>
      </c>
      <c r="P22" s="187" t="n">
        <f aca="false">IF($D$22=1,O22*Curves!L22,0)</f>
        <v>172062.145968455</v>
      </c>
      <c r="Q22" s="187" t="n">
        <f aca="false">IF($D$22=1,P22*Curves!M22,0)</f>
        <v>177224.010347509</v>
      </c>
      <c r="R22" s="187" t="n">
        <f aca="false">IF($D$22=1,Q22*Curves!N22,0)</f>
        <v>182540.730657934</v>
      </c>
    </row>
    <row r="23" customFormat="false" ht="12.75" hidden="false" customHeight="false" outlineLevel="0" collapsed="false">
      <c r="E23" s="204"/>
      <c r="F23" s="204"/>
      <c r="G23" s="204"/>
      <c r="H23" s="204"/>
    </row>
    <row r="24" customFormat="false" ht="12.75" hidden="false" customHeight="false" outlineLevel="0" collapsed="false">
      <c r="A24" s="437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</row>
    <row r="25" customFormat="false" ht="12.75" hidden="false" customHeight="false" outlineLevel="0" collapsed="false">
      <c r="A25" s="204"/>
      <c r="B25" s="204"/>
      <c r="C25" s="204"/>
      <c r="D25" s="204"/>
      <c r="E25" s="204"/>
      <c r="F25" s="204"/>
      <c r="G25" s="204"/>
      <c r="H25" s="884"/>
      <c r="I25" s="70"/>
      <c r="J25" s="70"/>
      <c r="K25" s="70"/>
      <c r="L25" s="70"/>
      <c r="M25" s="70"/>
      <c r="N25" s="70"/>
      <c r="O25" s="70"/>
      <c r="P25" s="70"/>
      <c r="Q25" s="70"/>
      <c r="R25" s="70"/>
    </row>
    <row r="26" customFormat="false" ht="12.75" hidden="false" customHeight="false" outlineLevel="0" collapsed="false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customFormat="false" ht="12.75" hidden="false" customHeight="false" outlineLevel="0" collapsed="false">
      <c r="A27" s="204"/>
      <c r="B27" s="204"/>
      <c r="C27" s="204"/>
      <c r="D27" s="204"/>
      <c r="E27" s="204"/>
      <c r="F27" s="204"/>
      <c r="G27" s="204"/>
      <c r="H27" s="885"/>
      <c r="I27" s="204"/>
      <c r="J27" s="204"/>
      <c r="K27" s="204"/>
      <c r="L27" s="204"/>
      <c r="M27" s="204"/>
      <c r="N27" s="204"/>
      <c r="O27" s="204"/>
      <c r="P27" s="204"/>
      <c r="Q27" s="204"/>
      <c r="R27" s="204"/>
    </row>
    <row r="28" customFormat="false" ht="12.75" hidden="false" customHeight="false" outlineLevel="0" collapsed="false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</row>
    <row r="29" customFormat="false" ht="12.75" hidden="false" customHeight="false" outlineLevel="0" collapsed="false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.85"/>
    <col collapsed="false" customWidth="true" hidden="false" outlineLevel="0" max="2" min="2" style="0" width="18.99"/>
    <col collapsed="false" customWidth="true" hidden="false" outlineLevel="0" max="3" min="3" style="0" width="13.7"/>
  </cols>
  <sheetData>
    <row r="1" customFormat="false" ht="18" hidden="false" customHeight="false" outlineLevel="0" collapsed="false">
      <c r="A1" s="629" t="str">
        <f aca="false">Assumptions!D6</f>
        <v>ETS</v>
      </c>
      <c r="B1" s="630"/>
      <c r="C1" s="10"/>
      <c r="D1" s="10"/>
      <c r="E1" s="12"/>
    </row>
    <row r="2" customFormat="false" ht="15.75" hidden="false" customHeight="false" outlineLevel="0" collapsed="false">
      <c r="A2" s="631" t="s">
        <v>484</v>
      </c>
      <c r="B2" s="632"/>
      <c r="C2" s="16"/>
      <c r="D2" s="16"/>
      <c r="E2" s="18"/>
    </row>
    <row r="3" customFormat="false" ht="16.5" hidden="false" customHeight="false" outlineLevel="0" collapsed="false">
      <c r="A3" s="58" t="s">
        <v>500</v>
      </c>
      <c r="B3" s="28"/>
      <c r="C3" s="28"/>
      <c r="D3" s="28"/>
      <c r="E3" s="30"/>
    </row>
    <row r="4" customFormat="false" ht="12.75" hidden="true" customHeight="false" outlineLevel="1" collapsed="false">
      <c r="C4" s="293"/>
      <c r="D4" s="294" t="s">
        <v>156</v>
      </c>
      <c r="E4" s="295"/>
      <c r="F4" s="293"/>
      <c r="G4" s="293"/>
      <c r="H4" s="296"/>
      <c r="I4" s="293"/>
      <c r="J4" s="296"/>
      <c r="K4" s="296"/>
      <c r="L4" s="296"/>
      <c r="M4" s="296"/>
      <c r="N4" s="75"/>
    </row>
    <row r="5" customFormat="false" ht="12.75" hidden="true" customHeight="false" outlineLevel="1" collapsed="false">
      <c r="C5" s="297"/>
      <c r="D5" s="297" t="n">
        <v>2001</v>
      </c>
      <c r="E5" s="298" t="n">
        <v>2002</v>
      </c>
      <c r="F5" s="298" t="n">
        <v>2003</v>
      </c>
      <c r="G5" s="298" t="n">
        <v>2004</v>
      </c>
      <c r="H5" s="298" t="n">
        <v>2005</v>
      </c>
      <c r="I5" s="298" t="n">
        <v>2006</v>
      </c>
      <c r="J5" s="299" t="n">
        <v>2007</v>
      </c>
      <c r="K5" s="299" t="n">
        <v>2008</v>
      </c>
      <c r="L5" s="299" t="n">
        <v>2009</v>
      </c>
      <c r="M5" s="299" t="n">
        <v>2010</v>
      </c>
      <c r="N5" s="300" t="n">
        <v>2011</v>
      </c>
    </row>
    <row r="6" customFormat="false" ht="12.75" hidden="true" customHeight="false" outlineLevel="1" collapsed="false">
      <c r="C6" s="526" t="s">
        <v>157</v>
      </c>
      <c r="D6" s="297" t="n">
        <v>1</v>
      </c>
      <c r="E6" s="298" t="n">
        <v>2</v>
      </c>
      <c r="F6" s="298" t="n">
        <v>3</v>
      </c>
      <c r="G6" s="298" t="n">
        <v>4</v>
      </c>
      <c r="H6" s="298" t="n">
        <v>5</v>
      </c>
      <c r="I6" s="298" t="n">
        <v>6</v>
      </c>
      <c r="J6" s="298" t="n">
        <v>7</v>
      </c>
      <c r="K6" s="298" t="n">
        <v>8</v>
      </c>
      <c r="L6" s="298" t="n">
        <v>9</v>
      </c>
      <c r="M6" s="298" t="n">
        <v>10</v>
      </c>
      <c r="N6" s="302" t="n">
        <v>11</v>
      </c>
    </row>
    <row r="7" customFormat="false" ht="12.75" hidden="true" customHeight="false" outlineLevel="1" collapsed="false">
      <c r="C7" s="526"/>
      <c r="D7" s="413"/>
      <c r="E7" s="795"/>
      <c r="F7" s="795"/>
      <c r="G7" s="795"/>
      <c r="H7" s="795"/>
      <c r="I7" s="795"/>
      <c r="J7" s="795"/>
      <c r="K7" s="795"/>
      <c r="L7" s="795"/>
      <c r="M7" s="795"/>
      <c r="N7" s="597"/>
    </row>
    <row r="8" customFormat="false" ht="18" hidden="true" customHeight="false" outlineLevel="1" collapsed="false">
      <c r="A8" s="31" t="s">
        <v>485</v>
      </c>
      <c r="C8" s="526"/>
      <c r="D8" s="413"/>
      <c r="E8" s="795"/>
      <c r="F8" s="795"/>
      <c r="G8" s="795"/>
      <c r="H8" s="795"/>
      <c r="I8" s="795"/>
      <c r="J8" s="795"/>
      <c r="K8" s="795"/>
      <c r="L8" s="795"/>
      <c r="M8" s="795"/>
      <c r="N8" s="597"/>
    </row>
    <row r="9" customFormat="false" ht="12.75" hidden="true" customHeight="false" outlineLevel="1" collapsed="false">
      <c r="C9" s="526"/>
      <c r="D9" s="413"/>
      <c r="E9" s="795"/>
      <c r="F9" s="795"/>
      <c r="G9" s="795"/>
      <c r="H9" s="795"/>
      <c r="I9" s="795"/>
      <c r="J9" s="795"/>
      <c r="K9" s="795"/>
      <c r="L9" s="795"/>
      <c r="M9" s="795"/>
      <c r="N9" s="597"/>
    </row>
    <row r="10" customFormat="false" ht="18" hidden="true" customHeight="false" outlineLevel="1" collapsed="false">
      <c r="A10" s="31" t="s">
        <v>501</v>
      </c>
      <c r="C10" s="526"/>
      <c r="D10" s="413"/>
      <c r="E10" s="795"/>
      <c r="F10" s="795"/>
      <c r="G10" s="795"/>
      <c r="H10" s="795"/>
      <c r="I10" s="795"/>
      <c r="J10" s="795"/>
      <c r="K10" s="795"/>
      <c r="L10" s="795"/>
      <c r="M10" s="795"/>
      <c r="N10" s="597"/>
    </row>
    <row r="11" customFormat="false" ht="12.75" hidden="true" customHeight="false" outlineLevel="1" collapsed="false">
      <c r="C11" s="526"/>
      <c r="D11" s="413"/>
      <c r="E11" s="795"/>
      <c r="F11" s="795"/>
      <c r="G11" s="795"/>
      <c r="H11" s="795"/>
      <c r="I11" s="795"/>
      <c r="J11" s="795"/>
      <c r="K11" s="795"/>
      <c r="L11" s="795"/>
      <c r="M11" s="795"/>
      <c r="N11" s="597"/>
    </row>
    <row r="12" customFormat="false" ht="18" hidden="false" customHeight="false" outlineLevel="0" collapsed="false">
      <c r="A12" s="31" t="s">
        <v>487</v>
      </c>
      <c r="C12" s="526"/>
      <c r="D12" s="413"/>
      <c r="E12" s="795"/>
      <c r="F12" s="795"/>
      <c r="G12" s="795"/>
      <c r="H12" s="795"/>
      <c r="I12" s="795"/>
      <c r="J12" s="795"/>
      <c r="K12" s="795"/>
      <c r="L12" s="795"/>
      <c r="M12" s="795"/>
      <c r="N12" s="597"/>
    </row>
    <row r="13" customFormat="false" ht="12.75" hidden="false" customHeight="true" outlineLevel="0" collapsed="false">
      <c r="A13" s="31"/>
      <c r="C13" s="293"/>
      <c r="D13" s="294" t="s">
        <v>156</v>
      </c>
      <c r="E13" s="295"/>
      <c r="F13" s="293"/>
      <c r="G13" s="293"/>
      <c r="H13" s="296"/>
      <c r="I13" s="293"/>
      <c r="J13" s="296"/>
      <c r="K13" s="296"/>
      <c r="L13" s="296"/>
      <c r="M13" s="296"/>
      <c r="N13" s="75"/>
    </row>
    <row r="14" customFormat="false" ht="12.75" hidden="false" customHeight="true" outlineLevel="0" collapsed="false">
      <c r="A14" s="31"/>
      <c r="C14" s="297"/>
      <c r="D14" s="297" t="n">
        <v>2001</v>
      </c>
      <c r="E14" s="298" t="n">
        <v>2002</v>
      </c>
      <c r="F14" s="298" t="n">
        <v>2003</v>
      </c>
      <c r="G14" s="298" t="n">
        <v>2004</v>
      </c>
      <c r="H14" s="298" t="n">
        <v>2005</v>
      </c>
      <c r="I14" s="298" t="n">
        <v>2006</v>
      </c>
      <c r="J14" s="299" t="n">
        <v>2007</v>
      </c>
      <c r="K14" s="299" t="n">
        <v>2008</v>
      </c>
      <c r="L14" s="299" t="n">
        <v>2009</v>
      </c>
      <c r="M14" s="299" t="n">
        <v>2010</v>
      </c>
      <c r="N14" s="300" t="n">
        <v>2011</v>
      </c>
    </row>
    <row r="15" customFormat="false" ht="12.75" hidden="false" customHeight="true" outlineLevel="0" collapsed="false">
      <c r="A15" s="31"/>
      <c r="C15" s="526" t="s">
        <v>157</v>
      </c>
      <c r="D15" s="297" t="n">
        <v>1</v>
      </c>
      <c r="E15" s="298" t="n">
        <v>2</v>
      </c>
      <c r="F15" s="298" t="n">
        <v>3</v>
      </c>
      <c r="G15" s="298" t="n">
        <v>4</v>
      </c>
      <c r="H15" s="298" t="n">
        <v>5</v>
      </c>
      <c r="I15" s="298" t="n">
        <v>6</v>
      </c>
      <c r="J15" s="298" t="n">
        <v>7</v>
      </c>
      <c r="K15" s="298" t="n">
        <v>8</v>
      </c>
      <c r="L15" s="298" t="n">
        <v>9</v>
      </c>
      <c r="M15" s="298" t="n">
        <v>10</v>
      </c>
      <c r="N15" s="302" t="n">
        <v>11</v>
      </c>
    </row>
    <row r="16" customFormat="false" ht="15.75" hidden="false" customHeight="false" outlineLevel="0" collapsed="false">
      <c r="A16" s="284" t="s">
        <v>502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customFormat="false" ht="12.75" hidden="false" customHeight="false" outlineLevel="0" collapsed="false">
      <c r="A17" s="65"/>
      <c r="B17" s="66" t="s">
        <v>492</v>
      </c>
      <c r="C17" s="66"/>
      <c r="D17" s="886" t="n">
        <v>1.02</v>
      </c>
      <c r="E17" s="886" t="n">
        <v>1.02</v>
      </c>
      <c r="F17" s="886" t="n">
        <v>1.02</v>
      </c>
      <c r="G17" s="886" t="n">
        <v>1.02</v>
      </c>
      <c r="H17" s="886" t="n">
        <v>1.02</v>
      </c>
      <c r="I17" s="886" t="n">
        <v>1.02</v>
      </c>
      <c r="J17" s="886" t="n">
        <v>1.02</v>
      </c>
      <c r="K17" s="886" t="n">
        <v>1.02</v>
      </c>
      <c r="L17" s="886" t="n">
        <v>1.02</v>
      </c>
      <c r="M17" s="886" t="n">
        <v>1.02</v>
      </c>
      <c r="N17" s="887" t="n">
        <v>1.02</v>
      </c>
    </row>
    <row r="18" customFormat="false" ht="12.75" hidden="false" customHeight="false" outlineLevel="0" collapsed="false">
      <c r="A18" s="17"/>
      <c r="B18" s="16" t="s">
        <v>493</v>
      </c>
      <c r="C18" s="16"/>
      <c r="D18" s="90" t="n">
        <v>1.03</v>
      </c>
      <c r="E18" s="90" t="n">
        <v>1.03</v>
      </c>
      <c r="F18" s="90" t="n">
        <v>1.03</v>
      </c>
      <c r="G18" s="90" t="n">
        <v>1.04</v>
      </c>
      <c r="H18" s="90" t="n">
        <v>1.05</v>
      </c>
      <c r="I18" s="90" t="n">
        <v>1.05</v>
      </c>
      <c r="J18" s="90" t="n">
        <v>1.05</v>
      </c>
      <c r="K18" s="90" t="n">
        <v>1.05</v>
      </c>
      <c r="L18" s="90" t="n">
        <v>1.05</v>
      </c>
      <c r="M18" s="90" t="n">
        <v>1.03</v>
      </c>
      <c r="N18" s="888" t="n">
        <v>1.03</v>
      </c>
    </row>
    <row r="19" customFormat="false" ht="12.75" hidden="false" customHeight="false" outlineLevel="0" collapsed="false">
      <c r="A19" s="17"/>
      <c r="B19" s="16" t="s">
        <v>495</v>
      </c>
      <c r="C19" s="16"/>
      <c r="D19" s="90" t="s">
        <v>102</v>
      </c>
      <c r="E19" s="90" t="s">
        <v>102</v>
      </c>
      <c r="F19" s="90" t="n">
        <v>1.01</v>
      </c>
      <c r="G19" s="90" t="n">
        <v>1.01</v>
      </c>
      <c r="H19" s="90" t="n">
        <v>1.01</v>
      </c>
      <c r="I19" s="90" t="n">
        <v>1.01</v>
      </c>
      <c r="J19" s="90" t="n">
        <v>1.01</v>
      </c>
      <c r="K19" s="90" t="n">
        <v>1.01</v>
      </c>
      <c r="L19" s="90" t="n">
        <v>1.01</v>
      </c>
      <c r="M19" s="90" t="n">
        <v>1.01</v>
      </c>
      <c r="N19" s="888" t="n">
        <v>1.01</v>
      </c>
    </row>
    <row r="20" customFormat="false" ht="12.75" hidden="false" customHeight="false" outlineLevel="0" collapsed="false">
      <c r="A20" s="17"/>
      <c r="B20" s="16" t="s">
        <v>496</v>
      </c>
      <c r="C20" s="16"/>
      <c r="D20" s="90" t="s">
        <v>102</v>
      </c>
      <c r="E20" s="90" t="s">
        <v>102</v>
      </c>
      <c r="F20" s="90" t="s">
        <v>102</v>
      </c>
      <c r="G20" s="90" t="n">
        <v>1.01</v>
      </c>
      <c r="H20" s="90" t="n">
        <v>1.01</v>
      </c>
      <c r="I20" s="90" t="n">
        <v>1.01</v>
      </c>
      <c r="J20" s="90" t="n">
        <v>1.01</v>
      </c>
      <c r="K20" s="90" t="n">
        <v>1.01</v>
      </c>
      <c r="L20" s="90" t="n">
        <v>1.01</v>
      </c>
      <c r="M20" s="90" t="n">
        <v>1.01</v>
      </c>
      <c r="N20" s="888" t="n">
        <v>1.01</v>
      </c>
    </row>
    <row r="21" customFormat="false" ht="12.75" hidden="false" customHeight="false" outlineLevel="0" collapsed="false">
      <c r="A21" s="17"/>
      <c r="B21" s="16" t="s">
        <v>497</v>
      </c>
      <c r="C21" s="16"/>
      <c r="D21" s="90" t="n">
        <v>1</v>
      </c>
      <c r="E21" s="90" t="n">
        <v>1</v>
      </c>
      <c r="F21" s="90" t="n">
        <v>1</v>
      </c>
      <c r="G21" s="90" t="n">
        <v>1</v>
      </c>
      <c r="H21" s="90" t="n">
        <v>1</v>
      </c>
      <c r="I21" s="90" t="n">
        <v>1</v>
      </c>
      <c r="J21" s="90" t="n">
        <v>1</v>
      </c>
      <c r="K21" s="90" t="n">
        <v>1</v>
      </c>
      <c r="L21" s="90" t="n">
        <v>1</v>
      </c>
      <c r="M21" s="90" t="n">
        <v>1</v>
      </c>
      <c r="N21" s="888" t="n">
        <v>1</v>
      </c>
    </row>
    <row r="22" customFormat="false" ht="12.75" hidden="false" customHeight="false" outlineLevel="0" collapsed="false">
      <c r="A22" s="74"/>
      <c r="B22" s="75" t="s">
        <v>499</v>
      </c>
      <c r="C22" s="75"/>
      <c r="D22" s="139" t="n">
        <v>1.05</v>
      </c>
      <c r="E22" s="139" t="n">
        <v>1.05</v>
      </c>
      <c r="F22" s="139" t="n">
        <v>1.05</v>
      </c>
      <c r="G22" s="139" t="n">
        <v>1.05</v>
      </c>
      <c r="H22" s="139" t="n">
        <v>1.05</v>
      </c>
      <c r="I22" s="139" t="n">
        <v>1.05</v>
      </c>
      <c r="J22" s="139" t="n">
        <v>1.03</v>
      </c>
      <c r="K22" s="139" t="n">
        <v>1.03</v>
      </c>
      <c r="L22" s="139" t="n">
        <v>1.03</v>
      </c>
      <c r="M22" s="139" t="n">
        <v>1.03</v>
      </c>
      <c r="N22" s="139" t="n">
        <v>1.03</v>
      </c>
    </row>
    <row r="24" customFormat="false" ht="15.75" hidden="false" customHeight="false" outlineLevel="0" collapsed="false">
      <c r="A24" s="284" t="s">
        <v>503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customFormat="false" ht="15.75" hidden="false" customHeight="false" outlineLevel="0" collapsed="false">
      <c r="A25" s="636"/>
      <c r="B25" s="889" t="s">
        <v>495</v>
      </c>
      <c r="C25" s="889"/>
      <c r="D25" s="886" t="n">
        <v>1</v>
      </c>
      <c r="E25" s="886" t="n">
        <v>1</v>
      </c>
      <c r="F25" s="886" t="n">
        <v>1</v>
      </c>
      <c r="G25" s="886" t="n">
        <v>1</v>
      </c>
      <c r="H25" s="886" t="n">
        <v>1</v>
      </c>
      <c r="I25" s="886" t="n">
        <v>1</v>
      </c>
      <c r="J25" s="886" t="n">
        <v>1</v>
      </c>
      <c r="K25" s="886" t="n">
        <v>1</v>
      </c>
      <c r="L25" s="886" t="n">
        <v>1</v>
      </c>
      <c r="M25" s="886" t="n">
        <v>1</v>
      </c>
      <c r="N25" s="887" t="n">
        <v>1</v>
      </c>
    </row>
    <row r="26" customFormat="false" ht="12.75" hidden="false" customHeight="false" outlineLevel="0" collapsed="false">
      <c r="A26" s="74"/>
      <c r="B26" s="292" t="s">
        <v>496</v>
      </c>
      <c r="C26" s="75"/>
      <c r="D26" s="139" t="n">
        <v>1</v>
      </c>
      <c r="E26" s="139" t="n">
        <v>1</v>
      </c>
      <c r="F26" s="139" t="n">
        <v>1</v>
      </c>
      <c r="G26" s="139" t="n">
        <v>1</v>
      </c>
      <c r="H26" s="139" t="n">
        <v>1</v>
      </c>
      <c r="I26" s="139" t="n">
        <v>1</v>
      </c>
      <c r="J26" s="139" t="n">
        <v>1</v>
      </c>
      <c r="K26" s="139" t="n">
        <v>1</v>
      </c>
      <c r="L26" s="139" t="n">
        <v>1</v>
      </c>
      <c r="M26" s="139" t="n">
        <v>1</v>
      </c>
      <c r="N26" s="634" t="n">
        <v>1</v>
      </c>
    </row>
    <row r="28" customFormat="false" ht="15.75" hidden="false" customHeight="false" outlineLevel="0" collapsed="false">
      <c r="A28" s="284" t="s">
        <v>504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customFormat="false" ht="12.75" hidden="false" customHeight="false" outlineLevel="0" collapsed="false">
      <c r="A29" s="65"/>
      <c r="B29" s="66" t="s">
        <v>505</v>
      </c>
      <c r="C29" s="66"/>
      <c r="D29" s="890" t="n">
        <v>0.28</v>
      </c>
      <c r="E29" s="890" t="n">
        <v>0.32</v>
      </c>
      <c r="F29" s="890" t="n">
        <v>0.32</v>
      </c>
      <c r="G29" s="890" t="n">
        <v>0.32</v>
      </c>
      <c r="H29" s="890" t="n">
        <v>0.28</v>
      </c>
      <c r="I29" s="890" t="n">
        <v>0.28</v>
      </c>
      <c r="J29" s="890" t="n">
        <v>0.28</v>
      </c>
      <c r="K29" s="890" t="n">
        <v>0.27</v>
      </c>
      <c r="L29" s="890" t="n">
        <v>0.27</v>
      </c>
      <c r="M29" s="890" t="n">
        <v>0.27</v>
      </c>
      <c r="N29" s="891" t="n">
        <v>0.26</v>
      </c>
    </row>
    <row r="30" customFormat="false" ht="12.75" hidden="false" customHeight="false" outlineLevel="0" collapsed="false">
      <c r="A30" s="17"/>
      <c r="B30" s="16" t="s">
        <v>506</v>
      </c>
      <c r="C30" s="16"/>
      <c r="D30" s="609" t="n">
        <v>0.23</v>
      </c>
      <c r="E30" s="609" t="n">
        <v>0.23</v>
      </c>
      <c r="F30" s="609" t="n">
        <v>0.23</v>
      </c>
      <c r="G30" s="609" t="n">
        <v>0.23</v>
      </c>
      <c r="H30" s="609" t="n">
        <v>0.23</v>
      </c>
      <c r="I30" s="609" t="n">
        <v>0.23</v>
      </c>
      <c r="J30" s="609" t="n">
        <v>0.23</v>
      </c>
      <c r="K30" s="609" t="n">
        <v>0.23</v>
      </c>
      <c r="L30" s="609" t="n">
        <v>0.23</v>
      </c>
      <c r="M30" s="609" t="n">
        <v>0.23</v>
      </c>
      <c r="N30" s="892" t="n">
        <v>0.23</v>
      </c>
    </row>
    <row r="31" customFormat="false" ht="12.75" hidden="false" customHeight="false" outlineLevel="0" collapsed="false">
      <c r="A31" s="17"/>
      <c r="B31" s="16" t="s">
        <v>507</v>
      </c>
      <c r="C31" s="16"/>
      <c r="D31" s="90" t="n">
        <v>1.05</v>
      </c>
      <c r="E31" s="90" t="n">
        <v>1.05</v>
      </c>
      <c r="F31" s="90" t="n">
        <v>1.05</v>
      </c>
      <c r="G31" s="90" t="n">
        <v>1.05</v>
      </c>
      <c r="H31" s="90" t="n">
        <v>1.05</v>
      </c>
      <c r="I31" s="90" t="n">
        <v>1.05</v>
      </c>
      <c r="J31" s="90" t="n">
        <v>1.03</v>
      </c>
      <c r="K31" s="90" t="n">
        <v>1.03</v>
      </c>
      <c r="L31" s="90" t="n">
        <v>1.03</v>
      </c>
      <c r="M31" s="90" t="n">
        <v>1.03</v>
      </c>
      <c r="N31" s="90" t="n">
        <v>1.03</v>
      </c>
    </row>
    <row r="32" customFormat="false" ht="12.75" hidden="false" customHeight="false" outlineLevel="0" collapsed="false">
      <c r="A32" s="17"/>
      <c r="B32" s="16" t="s">
        <v>508</v>
      </c>
      <c r="C32" s="16"/>
      <c r="D32" s="90" t="n">
        <v>1.01</v>
      </c>
      <c r="E32" s="90" t="n">
        <v>1.01</v>
      </c>
      <c r="F32" s="90" t="n">
        <v>1.01</v>
      </c>
      <c r="G32" s="90" t="n">
        <v>1.01</v>
      </c>
      <c r="H32" s="90" t="n">
        <v>1.01</v>
      </c>
      <c r="I32" s="90" t="n">
        <v>1.01</v>
      </c>
      <c r="J32" s="90" t="n">
        <v>1.01</v>
      </c>
      <c r="K32" s="90" t="n">
        <v>1.01</v>
      </c>
      <c r="L32" s="90" t="n">
        <v>1.01</v>
      </c>
      <c r="M32" s="90" t="n">
        <v>1.01</v>
      </c>
      <c r="N32" s="888" t="n">
        <v>1.01</v>
      </c>
    </row>
    <row r="33" customFormat="false" ht="12.75" hidden="false" customHeight="false" outlineLevel="0" collapsed="false">
      <c r="A33" s="17"/>
      <c r="B33" s="16" t="s">
        <v>509</v>
      </c>
      <c r="C33" s="16"/>
      <c r="D33" s="90" t="n">
        <v>1.01</v>
      </c>
      <c r="E33" s="90" t="n">
        <v>1.01</v>
      </c>
      <c r="F33" s="90" t="n">
        <v>1.01</v>
      </c>
      <c r="G33" s="90" t="n">
        <v>1.01</v>
      </c>
      <c r="H33" s="90" t="n">
        <v>1.01</v>
      </c>
      <c r="I33" s="90" t="n">
        <v>1.01</v>
      </c>
      <c r="J33" s="90" t="n">
        <v>1.01</v>
      </c>
      <c r="K33" s="90" t="n">
        <v>1.01</v>
      </c>
      <c r="L33" s="90" t="n">
        <v>1.01</v>
      </c>
      <c r="M33" s="90" t="n">
        <v>1.01</v>
      </c>
      <c r="N33" s="888" t="n">
        <v>1.01</v>
      </c>
    </row>
    <row r="34" customFormat="false" ht="12.75" hidden="false" customHeight="false" outlineLevel="0" collapsed="false">
      <c r="A34" s="17"/>
      <c r="B34" s="72" t="s">
        <v>510</v>
      </c>
      <c r="C34" s="16"/>
      <c r="D34" s="90" t="n">
        <v>1.01</v>
      </c>
      <c r="E34" s="90" t="n">
        <v>1.01</v>
      </c>
      <c r="F34" s="90" t="n">
        <v>1.01</v>
      </c>
      <c r="G34" s="90" t="n">
        <v>1.01</v>
      </c>
      <c r="H34" s="90" t="n">
        <v>1.01</v>
      </c>
      <c r="I34" s="90" t="n">
        <v>1.01</v>
      </c>
      <c r="J34" s="90" t="n">
        <v>1.01</v>
      </c>
      <c r="K34" s="90" t="n">
        <v>1.01</v>
      </c>
      <c r="L34" s="90" t="n">
        <v>1.01</v>
      </c>
      <c r="M34" s="90" t="n">
        <v>1.01</v>
      </c>
      <c r="N34" s="888" t="n">
        <v>1.01</v>
      </c>
    </row>
    <row r="35" customFormat="false" ht="12.75" hidden="false" customHeight="false" outlineLevel="0" collapsed="false">
      <c r="A35" s="74"/>
      <c r="B35" s="75" t="s">
        <v>511</v>
      </c>
      <c r="C35" s="75"/>
      <c r="D35" s="139" t="n">
        <v>1.01</v>
      </c>
      <c r="E35" s="139" t="n">
        <v>1.01</v>
      </c>
      <c r="F35" s="139" t="n">
        <v>1.01</v>
      </c>
      <c r="G35" s="139" t="n">
        <v>1.01</v>
      </c>
      <c r="H35" s="139" t="n">
        <v>1.01</v>
      </c>
      <c r="I35" s="139" t="n">
        <v>1.01</v>
      </c>
      <c r="J35" s="139" t="n">
        <v>1.01</v>
      </c>
      <c r="K35" s="139" t="n">
        <v>1.01</v>
      </c>
      <c r="L35" s="139" t="n">
        <v>1.01</v>
      </c>
      <c r="M35" s="139" t="n">
        <v>1.01</v>
      </c>
      <c r="N35" s="634" t="n">
        <v>1.01</v>
      </c>
    </row>
    <row r="36" customFormat="false" ht="12.75" hidden="false" customHeight="false" outlineLevel="0" collapsed="false">
      <c r="A36" s="16"/>
      <c r="B36" s="16"/>
      <c r="C36" s="16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</row>
    <row r="37" customFormat="false" ht="15.75" hidden="false" customHeight="false" outlineLevel="0" collapsed="false">
      <c r="A37" s="893" t="s">
        <v>512</v>
      </c>
      <c r="B37" s="894"/>
      <c r="C37" s="894"/>
      <c r="D37" s="895"/>
      <c r="E37" s="895"/>
      <c r="F37" s="895"/>
      <c r="G37" s="895"/>
      <c r="H37" s="895"/>
      <c r="I37" s="895"/>
      <c r="J37" s="895"/>
      <c r="K37" s="895"/>
      <c r="L37" s="895"/>
      <c r="M37" s="895"/>
      <c r="N37" s="895"/>
    </row>
    <row r="38" customFormat="false" ht="12.75" hidden="false" customHeight="false" outlineLevel="0" collapsed="false">
      <c r="A38" s="65"/>
      <c r="B38" s="889" t="s">
        <v>513</v>
      </c>
      <c r="C38" s="66"/>
      <c r="D38" s="886" t="n">
        <v>0.685</v>
      </c>
      <c r="E38" s="886" t="n">
        <v>1.025</v>
      </c>
      <c r="F38" s="886" t="n">
        <v>1.025</v>
      </c>
      <c r="G38" s="886" t="n">
        <v>1.025</v>
      </c>
      <c r="H38" s="886" t="n">
        <v>1.025</v>
      </c>
      <c r="I38" s="886" t="n">
        <v>1.025</v>
      </c>
      <c r="J38" s="886" t="n">
        <v>1.025</v>
      </c>
      <c r="K38" s="886" t="n">
        <v>1.025</v>
      </c>
      <c r="L38" s="886" t="n">
        <v>1.025</v>
      </c>
      <c r="M38" s="886" t="n">
        <v>1.025</v>
      </c>
      <c r="N38" s="886" t="n">
        <v>1.025</v>
      </c>
    </row>
    <row r="39" customFormat="false" ht="12.75" hidden="false" customHeight="false" outlineLevel="0" collapsed="false">
      <c r="A39" s="17"/>
      <c r="B39" s="72" t="s">
        <v>514</v>
      </c>
      <c r="C39" s="16"/>
      <c r="D39" s="90" t="n">
        <v>0.4</v>
      </c>
      <c r="E39" s="90" t="n">
        <v>0.395</v>
      </c>
      <c r="F39" s="90" t="n">
        <v>0.395</v>
      </c>
      <c r="G39" s="90" t="n">
        <v>0.395</v>
      </c>
      <c r="H39" s="90" t="n">
        <v>0.38</v>
      </c>
      <c r="I39" s="90" t="n">
        <v>0.38</v>
      </c>
      <c r="J39" s="90" t="n">
        <v>0.38</v>
      </c>
      <c r="K39" s="90" t="n">
        <v>0.385</v>
      </c>
      <c r="L39" s="90" t="n">
        <v>0.385</v>
      </c>
      <c r="M39" s="90" t="n">
        <v>0.38</v>
      </c>
      <c r="N39" s="888" t="n">
        <v>0.38</v>
      </c>
    </row>
    <row r="40" customFormat="false" ht="12.75" hidden="false" customHeight="false" outlineLevel="0" collapsed="false">
      <c r="A40" s="17"/>
      <c r="B40" s="72" t="s">
        <v>515</v>
      </c>
      <c r="C40" s="16"/>
      <c r="D40" s="90" t="n">
        <v>0.4</v>
      </c>
      <c r="E40" s="90" t="n">
        <v>0.395</v>
      </c>
      <c r="F40" s="90" t="n">
        <v>0.395</v>
      </c>
      <c r="G40" s="90" t="n">
        <v>0.395</v>
      </c>
      <c r="H40" s="90" t="n">
        <v>0.38</v>
      </c>
      <c r="I40" s="90" t="n">
        <v>0.38</v>
      </c>
      <c r="J40" s="90" t="n">
        <v>0.38</v>
      </c>
      <c r="K40" s="90" t="n">
        <v>0.385</v>
      </c>
      <c r="L40" s="90" t="n">
        <v>0.385</v>
      </c>
      <c r="M40" s="90" t="n">
        <v>0.38</v>
      </c>
      <c r="N40" s="888" t="n">
        <v>0.38</v>
      </c>
    </row>
    <row r="41" customFormat="false" ht="12.75" hidden="false" customHeight="false" outlineLevel="0" collapsed="false">
      <c r="A41" s="74"/>
      <c r="B41" s="292" t="s">
        <v>516</v>
      </c>
      <c r="C41" s="75"/>
      <c r="D41" s="139" t="n">
        <v>0.99</v>
      </c>
      <c r="E41" s="139" t="n">
        <v>0.99</v>
      </c>
      <c r="F41" s="139" t="n">
        <v>0.99</v>
      </c>
      <c r="G41" s="139" t="n">
        <v>0.99</v>
      </c>
      <c r="H41" s="139" t="n">
        <v>0.99</v>
      </c>
      <c r="I41" s="139" t="n">
        <v>0.99</v>
      </c>
      <c r="J41" s="139" t="n">
        <v>0.99</v>
      </c>
      <c r="K41" s="139" t="n">
        <v>0.99</v>
      </c>
      <c r="L41" s="139" t="n">
        <v>0.99</v>
      </c>
      <c r="M41" s="139" t="n">
        <v>0.99</v>
      </c>
      <c r="N41" s="634" t="n">
        <v>0.99</v>
      </c>
    </row>
    <row r="42" customFormat="false" ht="12.75" hidden="false" customHeight="false" outlineLevel="0" collapsed="false">
      <c r="A42" s="16"/>
      <c r="B42" s="16"/>
      <c r="C42" s="16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customFormat="false" ht="15.75" hidden="false" customHeight="false" outlineLevel="0" collapsed="false">
      <c r="A43" s="893" t="s">
        <v>517</v>
      </c>
      <c r="B43" s="896"/>
      <c r="C43" s="896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</row>
    <row r="44" customFormat="false" ht="12.75" hidden="false" customHeight="false" outlineLevel="0" collapsed="false">
      <c r="A44" s="65"/>
      <c r="B44" s="154" t="s">
        <v>518</v>
      </c>
      <c r="C44" s="66"/>
      <c r="D44" s="886" t="s">
        <v>102</v>
      </c>
      <c r="E44" s="886" t="n">
        <v>0.75</v>
      </c>
      <c r="F44" s="886" t="n">
        <v>1.01</v>
      </c>
      <c r="G44" s="886" t="n">
        <v>1.01</v>
      </c>
      <c r="H44" s="886" t="n">
        <v>1.01</v>
      </c>
      <c r="I44" s="886" t="n">
        <v>1.01</v>
      </c>
      <c r="J44" s="886" t="n">
        <v>1.01</v>
      </c>
      <c r="K44" s="886" t="n">
        <v>1.01</v>
      </c>
      <c r="L44" s="886" t="n">
        <v>1.01</v>
      </c>
      <c r="M44" s="886" t="n">
        <v>1.01</v>
      </c>
      <c r="N44" s="887" t="n">
        <v>1.01</v>
      </c>
    </row>
    <row r="45" customFormat="false" ht="12.75" hidden="false" customHeight="false" outlineLevel="0" collapsed="false">
      <c r="A45" s="17"/>
      <c r="B45" s="96" t="s">
        <v>519</v>
      </c>
      <c r="C45" s="16"/>
      <c r="D45" s="90" t="s">
        <v>102</v>
      </c>
      <c r="E45" s="90" t="n">
        <v>0</v>
      </c>
      <c r="F45" s="90" t="n">
        <v>0</v>
      </c>
      <c r="G45" s="90" t="n">
        <v>0</v>
      </c>
      <c r="H45" s="90" t="n">
        <v>0</v>
      </c>
      <c r="I45" s="90" t="n">
        <v>0</v>
      </c>
      <c r="J45" s="90" t="n">
        <v>0</v>
      </c>
      <c r="K45" s="90" t="n">
        <v>0</v>
      </c>
      <c r="L45" s="90" t="n">
        <v>0</v>
      </c>
      <c r="M45" s="90" t="n">
        <v>0</v>
      </c>
      <c r="N45" s="888" t="n">
        <v>0</v>
      </c>
    </row>
    <row r="46" customFormat="false" ht="12.75" hidden="false" customHeight="false" outlineLevel="0" collapsed="false">
      <c r="A46" s="17"/>
      <c r="B46" s="16" t="s">
        <v>520</v>
      </c>
      <c r="C46" s="16"/>
      <c r="D46" s="90" t="s">
        <v>102</v>
      </c>
      <c r="E46" s="90" t="s">
        <v>102</v>
      </c>
      <c r="F46" s="90" t="n">
        <v>0</v>
      </c>
      <c r="G46" s="90" t="n">
        <v>0</v>
      </c>
      <c r="H46" s="90" t="n">
        <v>0</v>
      </c>
      <c r="I46" s="90" t="n">
        <v>0</v>
      </c>
      <c r="J46" s="90" t="n">
        <v>0</v>
      </c>
      <c r="K46" s="90" t="n">
        <v>0</v>
      </c>
      <c r="L46" s="90" t="n">
        <v>0</v>
      </c>
      <c r="M46" s="90" t="n">
        <v>0</v>
      </c>
      <c r="N46" s="888" t="n">
        <v>0</v>
      </c>
    </row>
    <row r="47" customFormat="false" ht="12.75" hidden="false" customHeight="false" outlineLevel="0" collapsed="false">
      <c r="A47" s="17"/>
      <c r="B47" s="16" t="s">
        <v>521</v>
      </c>
      <c r="C47" s="16"/>
      <c r="D47" s="90" t="s">
        <v>102</v>
      </c>
      <c r="E47" s="90" t="n">
        <v>1</v>
      </c>
      <c r="F47" s="90" t="n">
        <v>1</v>
      </c>
      <c r="G47" s="90" t="n">
        <v>1</v>
      </c>
      <c r="H47" s="90" t="n">
        <v>1</v>
      </c>
      <c r="I47" s="90" t="n">
        <v>1</v>
      </c>
      <c r="J47" s="90" t="n">
        <v>1</v>
      </c>
      <c r="K47" s="90" t="n">
        <v>1</v>
      </c>
      <c r="L47" s="90" t="n">
        <v>1</v>
      </c>
      <c r="M47" s="90" t="n">
        <v>1</v>
      </c>
      <c r="N47" s="888" t="n">
        <v>1</v>
      </c>
    </row>
    <row r="48" customFormat="false" ht="12.75" hidden="false" customHeight="false" outlineLevel="0" collapsed="false">
      <c r="A48" s="17"/>
      <c r="B48" s="96" t="s">
        <v>522</v>
      </c>
      <c r="C48" s="16"/>
      <c r="D48" s="90" t="s">
        <v>102</v>
      </c>
      <c r="E48" s="90" t="n">
        <v>0.1</v>
      </c>
      <c r="F48" s="90" t="n">
        <v>1.01</v>
      </c>
      <c r="G48" s="90" t="n">
        <v>1.01</v>
      </c>
      <c r="H48" s="90" t="n">
        <v>1.01</v>
      </c>
      <c r="I48" s="90" t="n">
        <v>1.01</v>
      </c>
      <c r="J48" s="90" t="n">
        <v>1.01</v>
      </c>
      <c r="K48" s="90" t="n">
        <v>1.01</v>
      </c>
      <c r="L48" s="90" t="n">
        <v>1.01</v>
      </c>
      <c r="M48" s="90" t="n">
        <v>1.01</v>
      </c>
      <c r="N48" s="888" t="n">
        <v>1.01</v>
      </c>
    </row>
    <row r="49" customFormat="false" ht="12.75" hidden="false" customHeight="false" outlineLevel="0" collapsed="false">
      <c r="A49" s="17"/>
      <c r="B49" s="96" t="s">
        <v>523</v>
      </c>
      <c r="C49" s="16"/>
      <c r="D49" s="90" t="s">
        <v>102</v>
      </c>
      <c r="E49" s="90" t="n">
        <v>1.01</v>
      </c>
      <c r="F49" s="90" t="n">
        <v>1.01</v>
      </c>
      <c r="G49" s="90" t="n">
        <v>1.01</v>
      </c>
      <c r="H49" s="90" t="n">
        <v>1.01</v>
      </c>
      <c r="I49" s="90" t="n">
        <v>1.01</v>
      </c>
      <c r="J49" s="90" t="n">
        <v>1.01</v>
      </c>
      <c r="K49" s="90" t="n">
        <v>1.01</v>
      </c>
      <c r="L49" s="90" t="n">
        <v>1.01</v>
      </c>
      <c r="M49" s="90" t="n">
        <v>1.01</v>
      </c>
      <c r="N49" s="888" t="n">
        <v>1.01</v>
      </c>
    </row>
    <row r="50" customFormat="false" ht="12.75" hidden="false" customHeight="false" outlineLevel="0" collapsed="false">
      <c r="A50" s="17"/>
      <c r="B50" s="96" t="s">
        <v>524</v>
      </c>
      <c r="C50" s="16"/>
      <c r="D50" s="90" t="s">
        <v>102</v>
      </c>
      <c r="E50" s="90" t="n">
        <v>1.01</v>
      </c>
      <c r="F50" s="90" t="n">
        <v>1.01</v>
      </c>
      <c r="G50" s="90" t="n">
        <v>1.01</v>
      </c>
      <c r="H50" s="90" t="n">
        <v>1.01</v>
      </c>
      <c r="I50" s="90" t="n">
        <v>1.01</v>
      </c>
      <c r="J50" s="90" t="n">
        <v>0.95</v>
      </c>
      <c r="K50" s="90" t="n">
        <v>0.95</v>
      </c>
      <c r="L50" s="90" t="n">
        <v>0.95</v>
      </c>
      <c r="M50" s="90" t="n">
        <v>0.95</v>
      </c>
      <c r="N50" s="888" t="n">
        <v>0.95</v>
      </c>
    </row>
    <row r="51" customFormat="false" ht="12.75" hidden="false" customHeight="false" outlineLevel="0" collapsed="false">
      <c r="A51" s="74"/>
      <c r="B51" s="296" t="s">
        <v>525</v>
      </c>
      <c r="C51" s="75"/>
      <c r="D51" s="139" t="s">
        <v>102</v>
      </c>
      <c r="E51" s="139" t="n">
        <v>0.98</v>
      </c>
      <c r="F51" s="139" t="n">
        <v>0.98</v>
      </c>
      <c r="G51" s="139" t="n">
        <v>0.98</v>
      </c>
      <c r="H51" s="139" t="n">
        <v>0.98</v>
      </c>
      <c r="I51" s="139" t="n">
        <v>0.98</v>
      </c>
      <c r="J51" s="139" t="n">
        <v>0.98</v>
      </c>
      <c r="K51" s="139" t="n">
        <v>0.98</v>
      </c>
      <c r="L51" s="139" t="n">
        <v>0.95</v>
      </c>
      <c r="M51" s="139" t="n">
        <v>0.95</v>
      </c>
      <c r="N51" s="634" t="n">
        <v>0.95</v>
      </c>
    </row>
    <row r="55" customFormat="false" ht="18" hidden="false" customHeight="false" outlineLevel="0" collapsed="false">
      <c r="A55" s="31" t="s">
        <v>526</v>
      </c>
    </row>
  </sheetData>
  <printOptions headings="false" gridLines="false" gridLinesSet="true" horizontalCentered="false" verticalCentered="false"/>
  <pageMargins left="0.170138888888889" right="0.270138888888889" top="0.3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6.7"/>
    <col collapsed="false" customWidth="true" hidden="false" outlineLevel="0" max="3" min="3" style="0" width="4.7"/>
    <col collapsed="false" customWidth="true" hidden="false" outlineLevel="0" max="4" min="4" style="0" width="25.13"/>
    <col collapsed="false" customWidth="true" hidden="false" outlineLevel="0" max="5" min="5" style="0" width="3.99"/>
    <col collapsed="false" customWidth="true" hidden="false" outlineLevel="0" max="6" min="6" style="0" width="29.28"/>
    <col collapsed="false" customWidth="true" hidden="false" outlineLevel="0" max="7" min="7" style="0" width="4.56"/>
    <col collapsed="false" customWidth="true" hidden="false" outlineLevel="0" max="8" min="8" style="0" width="23.28"/>
    <col collapsed="false" customWidth="true" hidden="false" outlineLevel="0" max="9" min="9" style="0" width="4.14"/>
    <col collapsed="false" customWidth="true" hidden="false" outlineLevel="0" max="10" min="10" style="0" width="21.28"/>
  </cols>
  <sheetData>
    <row r="1" customFormat="false" ht="21" hidden="false" customHeight="false" outlineLevel="0" collapsed="false">
      <c r="A1" s="8" t="str">
        <f aca="false">"Project "&amp;Assumptions!D6</f>
        <v>Project ETS</v>
      </c>
      <c r="B1" s="8"/>
      <c r="C1" s="8"/>
      <c r="D1" s="8"/>
      <c r="E1" s="8"/>
      <c r="F1" s="8"/>
      <c r="G1" s="8"/>
      <c r="H1" s="8"/>
      <c r="I1" s="8"/>
      <c r="J1" s="8"/>
    </row>
    <row r="2" customFormat="false" ht="12.75" hidden="false" customHeight="false" outlineLevel="0" collapsed="false">
      <c r="A2" s="9"/>
      <c r="B2" s="10"/>
      <c r="C2" s="11"/>
      <c r="D2" s="10"/>
      <c r="E2" s="11"/>
      <c r="F2" s="10"/>
      <c r="G2" s="11"/>
      <c r="H2" s="10"/>
      <c r="I2" s="11"/>
      <c r="J2" s="12"/>
    </row>
    <row r="3" customFormat="false" ht="15.75" hidden="false" customHeight="false" outlineLevel="0" collapsed="false">
      <c r="A3" s="13" t="s">
        <v>44</v>
      </c>
      <c r="B3" s="13"/>
      <c r="C3" s="13" t="s">
        <v>44</v>
      </c>
      <c r="D3" s="13"/>
      <c r="E3" s="13" t="s">
        <v>44</v>
      </c>
      <c r="F3" s="13"/>
      <c r="G3" s="13" t="s">
        <v>44</v>
      </c>
      <c r="H3" s="13"/>
      <c r="I3" s="14"/>
      <c r="J3" s="14"/>
    </row>
    <row r="4" customFormat="false" ht="10.5" hidden="false" customHeight="true" outlineLevel="0" collapsed="false">
      <c r="A4" s="15"/>
      <c r="B4" s="16"/>
      <c r="C4" s="17"/>
      <c r="D4" s="16"/>
      <c r="E4" s="17"/>
      <c r="F4" s="16"/>
      <c r="G4" s="17"/>
      <c r="H4" s="16"/>
      <c r="I4" s="17"/>
      <c r="J4" s="18"/>
    </row>
    <row r="5" customFormat="false" ht="15.75" hidden="false" customHeight="false" outlineLevel="0" collapsed="false">
      <c r="A5" s="19"/>
      <c r="B5" s="20" t="s">
        <v>45</v>
      </c>
      <c r="C5" s="21"/>
      <c r="D5" s="21" t="s">
        <v>46</v>
      </c>
      <c r="E5" s="21"/>
      <c r="F5" s="22" t="s">
        <v>47</v>
      </c>
      <c r="G5" s="21"/>
      <c r="H5" s="21" t="s">
        <v>48</v>
      </c>
      <c r="I5" s="21"/>
      <c r="J5" s="23"/>
    </row>
    <row r="6" customFormat="false" ht="12.75" hidden="false" customHeight="false" outlineLevel="0" collapsed="false">
      <c r="A6" s="15"/>
      <c r="B6" s="16"/>
      <c r="C6" s="17"/>
      <c r="D6" s="16"/>
      <c r="E6" s="17"/>
      <c r="F6" s="16"/>
      <c r="G6" s="17"/>
      <c r="H6" s="16"/>
      <c r="I6" s="17"/>
      <c r="J6" s="18"/>
    </row>
    <row r="7" customFormat="false" ht="12.75" hidden="false" customHeight="false" outlineLevel="0" collapsed="false">
      <c r="A7" s="24" t="s">
        <v>49</v>
      </c>
      <c r="B7" s="25"/>
      <c r="C7" s="26" t="s">
        <v>49</v>
      </c>
      <c r="D7" s="25"/>
      <c r="E7" s="26" t="s">
        <v>49</v>
      </c>
      <c r="F7" s="25"/>
      <c r="G7" s="26" t="s">
        <v>49</v>
      </c>
      <c r="H7" s="25"/>
      <c r="I7" s="26" t="s">
        <v>49</v>
      </c>
      <c r="J7" s="18"/>
    </row>
    <row r="8" customFormat="false" ht="12.75" hidden="false" customHeight="false" outlineLevel="0" collapsed="false">
      <c r="A8" s="15"/>
      <c r="B8" s="16"/>
      <c r="C8" s="17"/>
      <c r="D8" s="16"/>
      <c r="E8" s="17"/>
      <c r="F8" s="16"/>
      <c r="G8" s="17"/>
      <c r="H8" s="16"/>
      <c r="I8" s="17"/>
      <c r="J8" s="18"/>
    </row>
    <row r="9" customFormat="false" ht="12.75" hidden="false" customHeight="false" outlineLevel="0" collapsed="false">
      <c r="A9" s="15"/>
      <c r="B9" s="16"/>
      <c r="C9" s="17"/>
      <c r="D9" s="16"/>
      <c r="E9" s="17"/>
      <c r="F9" s="16"/>
      <c r="G9" s="17"/>
      <c r="H9" s="16"/>
      <c r="I9" s="17"/>
      <c r="J9" s="18"/>
    </row>
    <row r="10" customFormat="false" ht="12.75" hidden="false" customHeight="false" outlineLevel="0" collapsed="false">
      <c r="A10" s="15"/>
      <c r="B10" s="16"/>
      <c r="C10" s="17"/>
      <c r="D10" s="16"/>
      <c r="E10" s="17"/>
      <c r="F10" s="16"/>
      <c r="G10" s="17"/>
      <c r="H10" s="16"/>
      <c r="I10" s="17"/>
      <c r="J10" s="18"/>
    </row>
    <row r="11" customFormat="false" ht="12.75" hidden="false" customHeight="false" outlineLevel="0" collapsed="false">
      <c r="A11" s="15"/>
      <c r="B11" s="16"/>
      <c r="C11" s="17"/>
      <c r="D11" s="16"/>
      <c r="E11" s="17"/>
      <c r="F11" s="16"/>
      <c r="G11" s="17"/>
      <c r="H11" s="16"/>
      <c r="I11" s="17"/>
      <c r="J11" s="18"/>
    </row>
    <row r="12" customFormat="false" ht="12.75" hidden="false" customHeight="false" outlineLevel="0" collapsed="false">
      <c r="A12" s="15"/>
      <c r="B12" s="16"/>
      <c r="C12" s="17"/>
      <c r="D12" s="16"/>
      <c r="E12" s="17"/>
      <c r="F12" s="16"/>
      <c r="G12" s="17"/>
      <c r="H12" s="16"/>
      <c r="I12" s="17"/>
      <c r="J12" s="18"/>
    </row>
    <row r="13" customFormat="false" ht="12.75" hidden="false" customHeight="false" outlineLevel="0" collapsed="false">
      <c r="A13" s="15"/>
      <c r="B13" s="16"/>
      <c r="C13" s="17"/>
      <c r="D13" s="16"/>
      <c r="E13" s="17"/>
      <c r="F13" s="16"/>
      <c r="G13" s="17"/>
      <c r="H13" s="16"/>
      <c r="I13" s="17"/>
      <c r="J13" s="18"/>
    </row>
    <row r="14" customFormat="false" ht="12.75" hidden="false" customHeight="false" outlineLevel="0" collapsed="false">
      <c r="A14" s="15"/>
      <c r="B14" s="16"/>
      <c r="C14" s="17"/>
      <c r="D14" s="16"/>
      <c r="E14" s="17"/>
      <c r="F14" s="16"/>
      <c r="G14" s="17"/>
      <c r="H14" s="16"/>
      <c r="I14" s="17"/>
      <c r="J14" s="18"/>
    </row>
    <row r="15" customFormat="false" ht="12.75" hidden="false" customHeight="false" outlineLevel="0" collapsed="false">
      <c r="A15" s="15"/>
      <c r="B15" s="16"/>
      <c r="C15" s="17"/>
      <c r="D15" s="16"/>
      <c r="E15" s="17"/>
      <c r="F15" s="16"/>
      <c r="G15" s="17"/>
      <c r="H15" s="16"/>
      <c r="I15" s="17"/>
      <c r="J15" s="18"/>
    </row>
    <row r="16" customFormat="false" ht="12.75" hidden="false" customHeight="false" outlineLevel="0" collapsed="false">
      <c r="A16" s="15"/>
      <c r="B16" s="16"/>
      <c r="C16" s="17"/>
      <c r="D16" s="16"/>
      <c r="E16" s="17"/>
      <c r="F16" s="16"/>
      <c r="G16" s="17"/>
      <c r="H16" s="16"/>
      <c r="I16" s="17"/>
      <c r="J16" s="18"/>
    </row>
    <row r="17" customFormat="false" ht="12.75" hidden="false" customHeight="false" outlineLevel="0" collapsed="false">
      <c r="A17" s="15"/>
      <c r="B17" s="16"/>
      <c r="C17" s="17"/>
      <c r="D17" s="16"/>
      <c r="E17" s="17"/>
      <c r="F17" s="16"/>
      <c r="G17" s="17"/>
      <c r="H17" s="16"/>
      <c r="I17" s="17"/>
      <c r="J17" s="18"/>
    </row>
    <row r="18" customFormat="false" ht="12.75" hidden="false" customHeight="false" outlineLevel="0" collapsed="false">
      <c r="A18" s="15"/>
      <c r="B18" s="16"/>
      <c r="C18" s="17"/>
      <c r="D18" s="16"/>
      <c r="E18" s="17"/>
      <c r="F18" s="16"/>
      <c r="G18" s="17"/>
      <c r="H18" s="16"/>
      <c r="I18" s="17"/>
      <c r="J18" s="18"/>
    </row>
    <row r="19" customFormat="false" ht="12.75" hidden="false" customHeight="false" outlineLevel="0" collapsed="false">
      <c r="A19" s="15"/>
      <c r="B19" s="16"/>
      <c r="C19" s="17"/>
      <c r="D19" s="16"/>
      <c r="E19" s="17"/>
      <c r="F19" s="16"/>
      <c r="G19" s="17"/>
      <c r="H19" s="16"/>
      <c r="I19" s="17"/>
      <c r="J19" s="18"/>
    </row>
    <row r="20" customFormat="false" ht="12.75" hidden="false" customHeight="false" outlineLevel="0" collapsed="false">
      <c r="A20" s="15"/>
      <c r="B20" s="16"/>
      <c r="C20" s="17"/>
      <c r="D20" s="16"/>
      <c r="E20" s="17"/>
      <c r="F20" s="16"/>
      <c r="G20" s="17"/>
      <c r="H20" s="16"/>
      <c r="I20" s="17"/>
      <c r="J20" s="18"/>
    </row>
    <row r="21" customFormat="false" ht="13.5" hidden="false" customHeight="false" outlineLevel="0" collapsed="false">
      <c r="A21" s="27"/>
      <c r="B21" s="28"/>
      <c r="C21" s="29"/>
      <c r="D21" s="28"/>
      <c r="E21" s="29"/>
      <c r="F21" s="28"/>
      <c r="G21" s="29"/>
      <c r="H21" s="28"/>
      <c r="I21" s="29"/>
      <c r="J21" s="30"/>
    </row>
  </sheetData>
  <mergeCells count="6">
    <mergeCell ref="A1:J1"/>
    <mergeCell ref="A3:B3"/>
    <mergeCell ref="C3:D3"/>
    <mergeCell ref="E3:F3"/>
    <mergeCell ref="G3:H3"/>
    <mergeCell ref="I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3" min="2" style="0" width="12.85"/>
    <col collapsed="false" customWidth="true" hidden="false" outlineLevel="0" max="4" min="4" style="0" width="12.7"/>
    <col collapsed="false" customWidth="true" hidden="false" outlineLevel="0" max="5" min="5" style="0" width="9.85"/>
  </cols>
  <sheetData>
    <row r="1" customFormat="false" ht="18" hidden="false" customHeight="false" outlineLevel="0" collapsed="false">
      <c r="A1" s="898" t="str">
        <f aca="false">Assumptions!D6</f>
        <v>ETS</v>
      </c>
      <c r="B1" s="53"/>
    </row>
    <row r="2" customFormat="false" ht="15.75" hidden="false" customHeight="false" outlineLevel="0" collapsed="false">
      <c r="A2" s="899" t="s">
        <v>527</v>
      </c>
      <c r="B2" s="53"/>
    </row>
    <row r="3" customFormat="false" ht="12.75" hidden="false" customHeight="false" outlineLevel="0" collapsed="false">
      <c r="B3" s="279"/>
    </row>
    <row r="4" customFormat="false" ht="12.75" hidden="false" customHeight="false" outlineLevel="0" collapsed="false">
      <c r="A4" s="566"/>
      <c r="B4" s="900" t="n">
        <v>36708</v>
      </c>
      <c r="C4" s="901" t="s">
        <v>528</v>
      </c>
      <c r="D4" s="901" t="s">
        <v>529</v>
      </c>
    </row>
    <row r="5" customFormat="false" ht="12.75" hidden="false" customHeight="false" outlineLevel="0" collapsed="false">
      <c r="A5" s="386"/>
      <c r="B5" s="902"/>
      <c r="C5" s="901"/>
      <c r="D5" s="901"/>
    </row>
    <row r="6" customFormat="false" ht="12.75" hidden="false" customHeight="false" outlineLevel="0" collapsed="false">
      <c r="A6" s="0" t="s">
        <v>530</v>
      </c>
    </row>
    <row r="7" customFormat="false" ht="12.75" hidden="false" customHeight="false" outlineLevel="0" collapsed="false">
      <c r="A7" s="0" t="s">
        <v>531</v>
      </c>
    </row>
    <row r="8" customFormat="false" ht="12.75" hidden="false" customHeight="false" outlineLevel="0" collapsed="false">
      <c r="A8" s="903" t="s">
        <v>532</v>
      </c>
      <c r="B8" s="185"/>
      <c r="C8" s="187"/>
      <c r="D8" s="187"/>
      <c r="E8" s="187"/>
    </row>
    <row r="9" customFormat="false" ht="12.75" hidden="false" customHeight="false" outlineLevel="0" collapsed="false">
      <c r="A9" s="903" t="s">
        <v>533</v>
      </c>
      <c r="B9" s="185" t="n">
        <v>-1535</v>
      </c>
      <c r="C9" s="187" t="n">
        <v>0</v>
      </c>
      <c r="D9" s="192" t="n">
        <f aca="false">SUM(B9:C9)</f>
        <v>-1535</v>
      </c>
      <c r="E9" s="187"/>
    </row>
    <row r="10" customFormat="false" ht="12.75" hidden="false" customHeight="false" outlineLevel="0" collapsed="false">
      <c r="A10" s="903" t="s">
        <v>534</v>
      </c>
      <c r="B10" s="185" t="n">
        <v>2763</v>
      </c>
      <c r="C10" s="187" t="n">
        <v>0</v>
      </c>
      <c r="D10" s="192" t="n">
        <f aca="false">SUM(B10:C10)</f>
        <v>2763</v>
      </c>
      <c r="E10" s="187"/>
    </row>
    <row r="11" customFormat="false" ht="12.75" hidden="false" customHeight="false" outlineLevel="0" collapsed="false">
      <c r="A11" s="0" t="s">
        <v>535</v>
      </c>
      <c r="B11" s="379" t="n">
        <v>7</v>
      </c>
      <c r="C11" s="192" t="n">
        <v>0</v>
      </c>
      <c r="D11" s="192" t="n">
        <f aca="false">SUM(B11:C11)</f>
        <v>7</v>
      </c>
      <c r="E11" s="187"/>
    </row>
    <row r="12" customFormat="false" ht="12.75" hidden="false" customHeight="false" outlineLevel="0" collapsed="false">
      <c r="A12" s="903" t="s">
        <v>536</v>
      </c>
      <c r="B12" s="185" t="n">
        <v>27020</v>
      </c>
      <c r="C12" s="192" t="n">
        <v>0</v>
      </c>
      <c r="D12" s="192" t="n">
        <f aca="false">SUM(B12:C12)</f>
        <v>27020</v>
      </c>
      <c r="E12" s="187"/>
    </row>
    <row r="13" customFormat="false" ht="12.75" hidden="false" customHeight="false" outlineLevel="0" collapsed="false">
      <c r="A13" s="903" t="s">
        <v>537</v>
      </c>
      <c r="B13" s="185" t="n">
        <v>9110</v>
      </c>
      <c r="C13" s="192" t="n">
        <v>0</v>
      </c>
      <c r="D13" s="192" t="n">
        <f aca="false">SUM(B13:C13)</f>
        <v>9110</v>
      </c>
      <c r="E13" s="187"/>
    </row>
    <row r="14" customFormat="false" ht="12.75" hidden="false" customHeight="false" outlineLevel="0" collapsed="false">
      <c r="A14" s="903" t="s">
        <v>538</v>
      </c>
      <c r="B14" s="185" t="n">
        <v>0</v>
      </c>
      <c r="C14" s="192" t="n">
        <v>0</v>
      </c>
      <c r="D14" s="192" t="n">
        <f aca="false">SUM(B14:C14)</f>
        <v>0</v>
      </c>
      <c r="E14" s="187"/>
    </row>
    <row r="15" customFormat="false" ht="15" hidden="false" customHeight="false" outlineLevel="0" collapsed="false">
      <c r="A15" s="903" t="s">
        <v>539</v>
      </c>
      <c r="B15" s="586" t="n">
        <v>10850</v>
      </c>
      <c r="C15" s="339" t="n">
        <v>0</v>
      </c>
      <c r="D15" s="339" t="n">
        <f aca="false">SUM(B15:C15)</f>
        <v>10850</v>
      </c>
      <c r="E15" s="187"/>
    </row>
    <row r="16" customFormat="false" ht="12.75" hidden="false" customHeight="false" outlineLevel="0" collapsed="false">
      <c r="A16" s="318" t="s">
        <v>540</v>
      </c>
      <c r="B16" s="904" t="n">
        <f aca="false">SUM(B9:B15)</f>
        <v>48215</v>
      </c>
      <c r="C16" s="904" t="n">
        <f aca="false">SUM(C9:C15)</f>
        <v>0</v>
      </c>
      <c r="D16" s="904" t="n">
        <f aca="false">SUM(D9:D15)</f>
        <v>48215</v>
      </c>
      <c r="E16" s="187"/>
    </row>
    <row r="17" customFormat="false" ht="12.75" hidden="false" customHeight="false" outlineLevel="0" collapsed="false">
      <c r="A17" s="905" t="s">
        <v>541</v>
      </c>
      <c r="B17" s="904"/>
      <c r="C17" s="904"/>
      <c r="D17" s="904"/>
      <c r="E17" s="187"/>
    </row>
    <row r="18" customFormat="false" ht="12.75" hidden="false" customHeight="false" outlineLevel="0" collapsed="false">
      <c r="A18" s="905" t="s">
        <v>542</v>
      </c>
      <c r="B18" s="904" t="n">
        <v>102263</v>
      </c>
      <c r="C18" s="192" t="n">
        <v>0</v>
      </c>
      <c r="D18" s="192" t="n">
        <f aca="false">SUM(B18:C18)</f>
        <v>102263</v>
      </c>
      <c r="E18" s="187"/>
    </row>
    <row r="19" customFormat="false" ht="15" hidden="false" customHeight="false" outlineLevel="0" collapsed="false">
      <c r="A19" s="905" t="s">
        <v>543</v>
      </c>
      <c r="B19" s="906" t="n">
        <v>-19169</v>
      </c>
      <c r="C19" s="339" t="n">
        <v>0</v>
      </c>
      <c r="D19" s="339" t="n">
        <f aca="false">SUM(B19:C19)</f>
        <v>-19169</v>
      </c>
      <c r="E19" s="187"/>
    </row>
    <row r="20" customFormat="false" ht="12.75" hidden="false" customHeight="false" outlineLevel="0" collapsed="false">
      <c r="A20" s="318" t="s">
        <v>540</v>
      </c>
      <c r="B20" s="904" t="n">
        <f aca="false">B19+B18</f>
        <v>83094</v>
      </c>
      <c r="C20" s="904" t="n">
        <f aca="false">C19+C18</f>
        <v>0</v>
      </c>
      <c r="D20" s="904" t="n">
        <f aca="false">D19+D18</f>
        <v>83094</v>
      </c>
      <c r="E20" s="187"/>
    </row>
    <row r="21" customFormat="false" ht="12.75" hidden="false" customHeight="false" outlineLevel="0" collapsed="false">
      <c r="A21" s="905" t="s">
        <v>544</v>
      </c>
      <c r="B21" s="904" t="n">
        <v>4875</v>
      </c>
      <c r="C21" s="192" t="n">
        <v>0</v>
      </c>
      <c r="D21" s="192" t="n">
        <f aca="false">SUM(B21:C21)</f>
        <v>4875</v>
      </c>
      <c r="E21" s="187"/>
    </row>
    <row r="22" customFormat="false" ht="13.5" hidden="false" customHeight="false" outlineLevel="0" collapsed="false">
      <c r="A22" s="318"/>
      <c r="B22" s="904"/>
      <c r="C22" s="187"/>
      <c r="D22" s="187"/>
      <c r="E22" s="187"/>
    </row>
    <row r="23" customFormat="false" ht="13.5" hidden="false" customHeight="false" outlineLevel="0" collapsed="false">
      <c r="A23" s="907" t="s">
        <v>545</v>
      </c>
      <c r="B23" s="908" t="n">
        <f aca="false">B21+B20+B16</f>
        <v>136184</v>
      </c>
      <c r="C23" s="908" t="n">
        <f aca="false">C21+C20+C16</f>
        <v>0</v>
      </c>
      <c r="D23" s="909" t="n">
        <f aca="false">D21+D20+D16</f>
        <v>136184</v>
      </c>
      <c r="E23" s="187"/>
    </row>
    <row r="24" customFormat="false" ht="15" hidden="false" customHeight="false" outlineLevel="0" collapsed="false">
      <c r="A24" s="187"/>
      <c r="B24" s="187"/>
      <c r="C24" s="339"/>
      <c r="D24" s="187"/>
      <c r="E24" s="187"/>
    </row>
    <row r="25" customFormat="false" ht="12.75" hidden="false" customHeight="false" outlineLevel="0" collapsed="false">
      <c r="A25" s="0" t="s">
        <v>546</v>
      </c>
      <c r="C25" s="187"/>
      <c r="D25" s="187"/>
      <c r="E25" s="187"/>
    </row>
    <row r="26" customFormat="false" ht="12.75" hidden="false" customHeight="false" outlineLevel="0" collapsed="false">
      <c r="A26" s="308"/>
      <c r="C26" s="187"/>
      <c r="D26" s="187"/>
      <c r="E26" s="187"/>
    </row>
    <row r="27" customFormat="false" ht="12.75" hidden="false" customHeight="false" outlineLevel="0" collapsed="false">
      <c r="A27" s="903" t="s">
        <v>547</v>
      </c>
      <c r="C27" s="187"/>
      <c r="D27" s="187"/>
      <c r="E27" s="187"/>
    </row>
    <row r="28" customFormat="false" ht="12.75" hidden="false" customHeight="false" outlineLevel="0" collapsed="false">
      <c r="A28" s="903" t="s">
        <v>548</v>
      </c>
      <c r="B28" s="191" t="n">
        <v>0</v>
      </c>
      <c r="C28" s="191" t="n">
        <v>0</v>
      </c>
      <c r="D28" s="192" t="n">
        <f aca="false">SUM(B28:C28)</f>
        <v>0</v>
      </c>
      <c r="E28" s="187"/>
    </row>
    <row r="29" customFormat="false" ht="12.75" hidden="false" customHeight="false" outlineLevel="0" collapsed="false">
      <c r="A29" s="903" t="s">
        <v>549</v>
      </c>
      <c r="B29" s="191" t="n">
        <v>6773</v>
      </c>
      <c r="C29" s="191" t="n">
        <v>0</v>
      </c>
      <c r="D29" s="192" t="n">
        <f aca="false">SUM(B29:C29)</f>
        <v>6773</v>
      </c>
      <c r="E29" s="187"/>
    </row>
    <row r="30" customFormat="false" ht="12.75" hidden="false" customHeight="false" outlineLevel="0" collapsed="false">
      <c r="A30" s="903" t="s">
        <v>550</v>
      </c>
      <c r="B30" s="191" t="n">
        <v>43</v>
      </c>
      <c r="C30" s="191" t="n">
        <v>0</v>
      </c>
      <c r="D30" s="192" t="n">
        <f aca="false">SUM(B30:C30)</f>
        <v>43</v>
      </c>
      <c r="E30" s="187"/>
    </row>
    <row r="31" customFormat="false" ht="12.75" hidden="false" customHeight="false" outlineLevel="0" collapsed="false">
      <c r="A31" s="903" t="s">
        <v>551</v>
      </c>
      <c r="B31" s="191" t="n">
        <v>2191</v>
      </c>
      <c r="C31" s="191" t="n">
        <v>0</v>
      </c>
      <c r="D31" s="192" t="n">
        <f aca="false">SUM(B31:C31)</f>
        <v>2191</v>
      </c>
      <c r="E31" s="187"/>
    </row>
    <row r="32" customFormat="false" ht="12.75" hidden="false" customHeight="false" outlineLevel="0" collapsed="false">
      <c r="A32" s="903" t="s">
        <v>552</v>
      </c>
      <c r="B32" s="191" t="n">
        <v>-11832</v>
      </c>
      <c r="C32" s="191" t="n">
        <v>0</v>
      </c>
      <c r="D32" s="192" t="n">
        <f aca="false">SUM(B32:C32)</f>
        <v>-11832</v>
      </c>
      <c r="E32" s="187"/>
    </row>
    <row r="33" customFormat="false" ht="15" hidden="false" customHeight="false" outlineLevel="0" collapsed="false">
      <c r="A33" s="910" t="s">
        <v>553</v>
      </c>
      <c r="B33" s="906" t="n">
        <v>0</v>
      </c>
      <c r="C33" s="339" t="n">
        <v>0</v>
      </c>
      <c r="D33" s="339" t="n">
        <f aca="false">SUM(B33:C33)</f>
        <v>0</v>
      </c>
      <c r="E33" s="187"/>
    </row>
    <row r="34" customFormat="false" ht="12.75" hidden="false" customHeight="false" outlineLevel="0" collapsed="false">
      <c r="A34" s="308" t="s">
        <v>540</v>
      </c>
      <c r="B34" s="904" t="n">
        <f aca="false">SUM(B28:B33)</f>
        <v>-2825</v>
      </c>
      <c r="C34" s="904" t="n">
        <f aca="false">SUM(C28:C33)</f>
        <v>0</v>
      </c>
      <c r="D34" s="904" t="n">
        <f aca="false">SUM(D28:D33)</f>
        <v>-2825</v>
      </c>
      <c r="E34" s="187"/>
    </row>
    <row r="35" customFormat="false" ht="12.75" hidden="false" customHeight="false" outlineLevel="0" collapsed="false">
      <c r="A35" s="910" t="s">
        <v>554</v>
      </c>
      <c r="B35" s="904"/>
      <c r="C35" s="187"/>
      <c r="D35" s="187"/>
      <c r="E35" s="187"/>
    </row>
    <row r="36" customFormat="false" ht="12.75" hidden="false" customHeight="false" outlineLevel="0" collapsed="false">
      <c r="A36" s="910" t="s">
        <v>555</v>
      </c>
      <c r="B36" s="185" t="n">
        <v>0</v>
      </c>
      <c r="C36" s="187" t="n">
        <f aca="false">-B36</f>
        <v>-0</v>
      </c>
      <c r="D36" s="187" t="n">
        <f aca="false">SUM(B36:C36)</f>
        <v>0</v>
      </c>
      <c r="E36" s="187"/>
    </row>
    <row r="37" customFormat="false" ht="15" hidden="false" customHeight="false" outlineLevel="0" collapsed="false">
      <c r="A37" s="910" t="s">
        <v>556</v>
      </c>
      <c r="B37" s="906" t="n">
        <v>-52378</v>
      </c>
      <c r="C37" s="339" t="n">
        <v>0</v>
      </c>
      <c r="D37" s="339" t="n">
        <f aca="false">SUM(B37:C37)</f>
        <v>-52378</v>
      </c>
      <c r="E37" s="187"/>
    </row>
    <row r="38" customFormat="false" ht="12.75" hidden="false" customHeight="false" outlineLevel="0" collapsed="false">
      <c r="A38" s="308" t="s">
        <v>540</v>
      </c>
      <c r="B38" s="904" t="n">
        <f aca="false">SUM(B36:B37)</f>
        <v>-52378</v>
      </c>
      <c r="C38" s="187" t="n">
        <f aca="false">SUM(C36:C37)</f>
        <v>0</v>
      </c>
      <c r="D38" s="187" t="n">
        <f aca="false">SUM(D36:D37)</f>
        <v>-52378</v>
      </c>
      <c r="E38" s="187"/>
    </row>
    <row r="39" customFormat="false" ht="12.75" hidden="false" customHeight="false" outlineLevel="0" collapsed="false">
      <c r="A39" s="910" t="s">
        <v>557</v>
      </c>
      <c r="B39" s="185"/>
      <c r="C39" s="187"/>
      <c r="D39" s="187"/>
      <c r="E39" s="187"/>
    </row>
    <row r="40" customFormat="false" ht="12.75" hidden="false" customHeight="false" outlineLevel="0" collapsed="false">
      <c r="A40" s="910" t="s">
        <v>558</v>
      </c>
      <c r="B40" s="185" t="n">
        <v>0</v>
      </c>
      <c r="C40" s="187" t="n">
        <v>0</v>
      </c>
      <c r="D40" s="187" t="n">
        <f aca="false">SUM(B40:C40)</f>
        <v>0</v>
      </c>
      <c r="E40" s="187"/>
    </row>
    <row r="41" customFormat="false" ht="12.75" hidden="false" customHeight="false" outlineLevel="0" collapsed="false">
      <c r="A41" s="910" t="s">
        <v>559</v>
      </c>
      <c r="B41" s="911" t="n">
        <v>575987</v>
      </c>
      <c r="C41" s="192" t="n">
        <v>0</v>
      </c>
      <c r="D41" s="192" t="n">
        <f aca="false">SUM(B41:C41)</f>
        <v>575987</v>
      </c>
      <c r="E41" s="187"/>
    </row>
    <row r="42" customFormat="false" ht="15" hidden="false" customHeight="false" outlineLevel="0" collapsed="false">
      <c r="A42" s="0" t="s">
        <v>560</v>
      </c>
      <c r="B42" s="906" t="n">
        <v>-384600</v>
      </c>
      <c r="C42" s="339" t="n">
        <v>0</v>
      </c>
      <c r="D42" s="339" t="n">
        <f aca="false">SUM(B42:C42)</f>
        <v>-384600</v>
      </c>
      <c r="E42" s="187"/>
    </row>
    <row r="43" customFormat="false" ht="12.75" hidden="false" customHeight="false" outlineLevel="0" collapsed="false">
      <c r="A43" s="308" t="s">
        <v>540</v>
      </c>
      <c r="B43" s="904" t="n">
        <f aca="false">SUM(B40:B42)</f>
        <v>191387</v>
      </c>
      <c r="C43" s="904" t="n">
        <f aca="false">SUM(C40:C42)</f>
        <v>0</v>
      </c>
      <c r="D43" s="904" t="n">
        <f aca="false">SUM(D40:D42)</f>
        <v>191387</v>
      </c>
      <c r="E43" s="187"/>
    </row>
    <row r="44" customFormat="false" ht="13.5" hidden="false" customHeight="false" outlineLevel="0" collapsed="false">
      <c r="C44" s="187"/>
      <c r="D44" s="187"/>
      <c r="E44" s="187"/>
    </row>
    <row r="45" customFormat="false" ht="13.5" hidden="false" customHeight="false" outlineLevel="0" collapsed="false">
      <c r="A45" s="907" t="s">
        <v>561</v>
      </c>
      <c r="B45" s="908" t="n">
        <f aca="false">B43+B38+B34</f>
        <v>136184</v>
      </c>
      <c r="C45" s="908" t="n">
        <f aca="false">C43+C38+C34</f>
        <v>0</v>
      </c>
      <c r="D45" s="909" t="n">
        <f aca="false">D43+D38+D34</f>
        <v>136184</v>
      </c>
      <c r="E45" s="187"/>
    </row>
    <row r="46" customFormat="false" ht="12.75" hidden="false" customHeight="false" outlineLevel="0" collapsed="false">
      <c r="A46" s="187"/>
      <c r="B46" s="187" t="n">
        <f aca="false">B23-B45</f>
        <v>0</v>
      </c>
      <c r="C46" s="187" t="n">
        <f aca="false">C23-C45</f>
        <v>0</v>
      </c>
      <c r="D46" s="187" t="n">
        <f aca="false">D23-D45</f>
        <v>0</v>
      </c>
      <c r="E46" s="187"/>
    </row>
    <row r="47" customFormat="false" ht="12.75" hidden="false" customHeight="false" outlineLevel="0" collapsed="false">
      <c r="A47" s="146"/>
      <c r="B47" s="146"/>
      <c r="C47" s="192"/>
      <c r="D47" s="192"/>
      <c r="E47" s="192"/>
    </row>
    <row r="48" customFormat="false" ht="12.75" hidden="false" customHeight="false" outlineLevel="0" collapsed="false">
      <c r="C48" s="187"/>
      <c r="D48" s="187"/>
      <c r="E48" s="187"/>
    </row>
    <row r="49" customFormat="false" ht="12.75" hidden="false" customHeight="false" outlineLevel="0" collapsed="false">
      <c r="C49" s="187"/>
      <c r="D49" s="187"/>
      <c r="E49" s="187"/>
    </row>
    <row r="50" customFormat="false" ht="12.75" hidden="false" customHeight="false" outlineLevel="0" collapsed="false">
      <c r="D50" s="187"/>
      <c r="E50" s="187"/>
    </row>
    <row r="51" customFormat="false" ht="12.75" hidden="false" customHeight="false" outlineLevel="0" collapsed="false">
      <c r="C51" s="187"/>
      <c r="D51" s="187"/>
      <c r="E51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56"/>
  </cols>
  <sheetData>
    <row r="1" customFormat="false" ht="18.75" hidden="false" customHeight="false" outlineLevel="0" collapsed="false">
      <c r="A1" s="31" t="str">
        <f aca="false">Assumptions!A1</f>
        <v>Project ETS</v>
      </c>
      <c r="D1" s="32" t="s">
        <v>50</v>
      </c>
    </row>
    <row r="2" customFormat="false" ht="15.75" hidden="false" customHeight="false" outlineLevel="0" collapsed="false">
      <c r="B2" s="33" t="s">
        <v>51</v>
      </c>
      <c r="D2" s="34" t="str">
        <f aca="false">IF(CLoop&lt;&gt;0,"Warning Flag: Check Unlev. Consolid sheet and run Macro","")</f>
        <v/>
      </c>
      <c r="E2" s="35"/>
      <c r="F2" s="35"/>
      <c r="G2" s="35"/>
      <c r="H2" s="36"/>
    </row>
    <row r="3" customFormat="false" ht="18.75" hidden="false" customHeight="false" outlineLevel="0" collapsed="false">
      <c r="A3" s="31"/>
      <c r="D3" s="37" t="str">
        <f aca="false">IF('Unlev. Consolid'!K119="","","Warning Flag: Check Unlev.Consolid sheet and separate Asset sheets")</f>
        <v/>
      </c>
      <c r="E3" s="38"/>
      <c r="F3" s="38"/>
      <c r="G3" s="38"/>
      <c r="H3" s="39"/>
    </row>
    <row r="5" customFormat="false" ht="12.75" hidden="false" customHeight="false" outlineLevel="0" collapsed="false">
      <c r="A5" s="40" t="s">
        <v>52</v>
      </c>
    </row>
    <row r="6" customFormat="false" ht="13.5" hidden="false" customHeight="false" outlineLevel="0" collapsed="false"/>
    <row r="7" customFormat="false" ht="12.75" hidden="false" customHeight="false" outlineLevel="0" collapsed="false">
      <c r="B7" s="41" t="s">
        <v>53</v>
      </c>
      <c r="C7" s="42"/>
      <c r="D7" s="43" t="n">
        <f aca="false">E7-0.025</f>
        <v>0.05</v>
      </c>
      <c r="E7" s="43" t="n">
        <f aca="false">ConsDRate</f>
        <v>0.075</v>
      </c>
      <c r="F7" s="44" t="n">
        <f aca="false">E7+0.025</f>
        <v>0.1</v>
      </c>
    </row>
    <row r="8" customFormat="false" ht="12.75" hidden="false" customHeight="false" outlineLevel="0" collapsed="false">
      <c r="B8" s="45" t="s">
        <v>54</v>
      </c>
      <c r="C8" s="46"/>
      <c r="D8" s="47" t="n">
        <f aca="false">'Unlev. Consolid'!N118</f>
        <v>12208270.219595</v>
      </c>
      <c r="E8" s="47" t="n">
        <f aca="false">'Unlev. Consolid'!O118</f>
        <v>10138316.6111767</v>
      </c>
      <c r="F8" s="48" t="n">
        <f aca="false">'Unlev. Consolid'!P118</f>
        <v>8495780.40338398</v>
      </c>
    </row>
    <row r="9" customFormat="false" ht="13.5" hidden="false" customHeight="false" outlineLevel="0" collapsed="false">
      <c r="B9" s="49" t="s">
        <v>55</v>
      </c>
      <c r="C9" s="50" t="n">
        <f aca="false">'Unlev. Consolid'!$L$121</f>
        <v>0</v>
      </c>
      <c r="D9" s="51"/>
      <c r="E9" s="51"/>
      <c r="F9" s="52"/>
    </row>
    <row r="11" customFormat="false" ht="12.75" hidden="false" customHeight="false" outlineLevel="0" collapsed="false">
      <c r="A11" s="40" t="s">
        <v>56</v>
      </c>
    </row>
    <row r="13" customFormat="false" ht="12.75" hidden="false" customHeight="false" outlineLevel="0" collapsed="false">
      <c r="B13" s="53" t="s">
        <v>57</v>
      </c>
      <c r="D13" s="54" t="n">
        <f aca="false">Assumptions!D16</f>
        <v>0.365262611340977</v>
      </c>
    </row>
    <row r="14" customFormat="false" ht="13.5" hidden="false" customHeight="false" outlineLevel="0" collapsed="false"/>
    <row r="15" customFormat="false" ht="12.75" hidden="false" customHeight="false" outlineLevel="0" collapsed="false">
      <c r="B15" s="41" t="s">
        <v>53</v>
      </c>
      <c r="C15" s="55"/>
      <c r="D15" s="43" t="n">
        <f aca="false">E15-0.025</f>
        <v>0.05</v>
      </c>
      <c r="E15" s="43" t="n">
        <f aca="false">ConsDRate</f>
        <v>0.075</v>
      </c>
      <c r="F15" s="44" t="n">
        <f aca="false">E15+0.025</f>
        <v>0.1</v>
      </c>
    </row>
    <row r="16" customFormat="false" ht="12.75" hidden="false" customHeight="false" outlineLevel="0" collapsed="false">
      <c r="B16" s="45" t="s">
        <v>58</v>
      </c>
      <c r="C16" s="46"/>
      <c r="D16" s="47" t="n">
        <f aca="false">'Lev. Consolid'!F7</f>
        <v>0</v>
      </c>
      <c r="E16" s="47" t="n">
        <f aca="false">'Lev. Consolid'!G7</f>
        <v>0</v>
      </c>
      <c r="F16" s="48" t="n">
        <f aca="false">'Lev. Consolid'!H7</f>
        <v>0</v>
      </c>
    </row>
    <row r="17" customFormat="false" ht="13.5" hidden="false" customHeight="false" outlineLevel="0" collapsed="false">
      <c r="B17" s="49" t="s">
        <v>59</v>
      </c>
      <c r="C17" s="56" t="n">
        <f aca="false">'Lev. Consolid'!$G$9</f>
        <v>0</v>
      </c>
      <c r="D17" s="51"/>
      <c r="E17" s="51"/>
      <c r="F17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2.84"/>
    <col collapsed="false" customWidth="true" hidden="false" outlineLevel="0" max="2" min="2" style="0" width="22.85"/>
    <col collapsed="false" customWidth="true" hidden="false" outlineLevel="0" max="3" min="3" style="0" width="14.85"/>
    <col collapsed="false" customWidth="true" hidden="false" outlineLevel="0" max="4" min="4" style="0" width="15.56"/>
    <col collapsed="false" customWidth="true" hidden="false" outlineLevel="0" max="5" min="5" style="0" width="14.14"/>
    <col collapsed="false" customWidth="true" hidden="false" outlineLevel="0" max="6" min="6" style="0" width="10.85"/>
    <col collapsed="false" customWidth="true" hidden="false" outlineLevel="0" max="7" min="7" style="0" width="14.56"/>
    <col collapsed="false" customWidth="true" hidden="false" outlineLevel="0" max="8" min="8" style="0" width="19.7"/>
    <col collapsed="false" customWidth="true" hidden="false" outlineLevel="0" max="10" min="9" style="0" width="13.7"/>
  </cols>
  <sheetData>
    <row r="1" customFormat="false" ht="20.25" hidden="false" customHeight="false" outlineLevel="0" collapsed="false">
      <c r="A1" s="57" t="str">
        <f aca="false">"Project "&amp;D6</f>
        <v>Project ETS</v>
      </c>
      <c r="B1" s="10"/>
      <c r="C1" s="10"/>
      <c r="D1" s="12"/>
    </row>
    <row r="2" customFormat="false" ht="16.5" hidden="false" customHeight="false" outlineLevel="0" collapsed="false">
      <c r="A2" s="58" t="s">
        <v>60</v>
      </c>
      <c r="B2" s="28"/>
      <c r="C2" s="28"/>
      <c r="D2" s="30"/>
    </row>
    <row r="3" customFormat="false" ht="12.75" hidden="false" customHeight="false" outlineLevel="0" collapsed="false">
      <c r="D3" s="59"/>
    </row>
    <row r="4" customFormat="false" ht="15.75" hidden="false" customHeight="false" outlineLevel="0" collapsed="false">
      <c r="A4" s="60" t="s">
        <v>61</v>
      </c>
      <c r="B4" s="61"/>
      <c r="C4" s="62"/>
      <c r="D4" s="63"/>
    </row>
    <row r="5" customFormat="false" ht="12.75" hidden="false" customHeight="false" outlineLevel="0" collapsed="false">
      <c r="A5" s="17"/>
      <c r="B5" s="16"/>
      <c r="C5" s="16"/>
      <c r="D5" s="64"/>
    </row>
    <row r="6" customFormat="false" ht="12.75" hidden="false" customHeight="false" outlineLevel="0" collapsed="false">
      <c r="A6" s="65"/>
      <c r="B6" s="66" t="s">
        <v>62</v>
      </c>
      <c r="C6" s="66"/>
      <c r="D6" s="67" t="s">
        <v>63</v>
      </c>
      <c r="F6" s="68"/>
      <c r="G6" s="68"/>
    </row>
    <row r="7" customFormat="false" ht="12.75" hidden="false" customHeight="false" outlineLevel="0" collapsed="false">
      <c r="A7" s="17"/>
      <c r="B7" s="16" t="s">
        <v>64</v>
      </c>
      <c r="C7" s="16"/>
      <c r="D7" s="69"/>
      <c r="F7" s="70"/>
      <c r="G7" s="70"/>
    </row>
    <row r="8" customFormat="false" ht="12.75" hidden="false" customHeight="false" outlineLevel="0" collapsed="false">
      <c r="A8" s="17"/>
      <c r="B8" s="16" t="s">
        <v>65</v>
      </c>
      <c r="C8" s="16"/>
      <c r="D8" s="69" t="n">
        <v>2002</v>
      </c>
      <c r="J8" s="16"/>
    </row>
    <row r="9" customFormat="false" ht="12.75" hidden="false" customHeight="false" outlineLevel="0" collapsed="false">
      <c r="A9" s="17"/>
      <c r="B9" s="16" t="s">
        <v>66</v>
      </c>
      <c r="C9" s="16"/>
      <c r="D9" s="69" t="n">
        <v>10</v>
      </c>
    </row>
    <row r="10" customFormat="false" ht="12.75" hidden="false" customHeight="false" outlineLevel="0" collapsed="false">
      <c r="A10" s="17"/>
      <c r="B10" s="16" t="s">
        <v>67</v>
      </c>
      <c r="C10" s="16"/>
      <c r="D10" s="71" t="n">
        <v>0.385</v>
      </c>
    </row>
    <row r="11" customFormat="false" ht="12.75" hidden="false" customHeight="false" outlineLevel="0" collapsed="false">
      <c r="A11" s="17"/>
      <c r="B11" s="72" t="s">
        <v>68</v>
      </c>
      <c r="C11" s="16"/>
      <c r="D11" s="71" t="n">
        <f aca="false">D10</f>
        <v>0.385</v>
      </c>
    </row>
    <row r="12" customFormat="false" ht="12.75" hidden="false" customHeight="false" outlineLevel="0" collapsed="false">
      <c r="A12" s="17"/>
      <c r="B12" s="16" t="s">
        <v>69</v>
      </c>
      <c r="C12" s="16"/>
      <c r="D12" s="71" t="n">
        <v>0.075</v>
      </c>
      <c r="E12" s="73" t="str">
        <f aca="false">IF(CLoop=0,"","Run Consolidated Macro")</f>
        <v/>
      </c>
    </row>
    <row r="13" customFormat="false" ht="12.75" hidden="false" customHeight="false" outlineLevel="0" collapsed="false">
      <c r="A13" s="74"/>
      <c r="B13" s="75" t="s">
        <v>70</v>
      </c>
      <c r="C13" s="75"/>
      <c r="D13" s="76" t="n">
        <v>0</v>
      </c>
      <c r="E13" s="77"/>
    </row>
    <row r="14" customFormat="false" ht="12.75" hidden="false" customHeight="false" outlineLevel="0" collapsed="false">
      <c r="A14" s="17"/>
      <c r="B14" s="16"/>
      <c r="C14" s="16"/>
      <c r="D14" s="78"/>
      <c r="E14" s="77"/>
    </row>
    <row r="15" customFormat="false" ht="12.75" hidden="false" customHeight="false" outlineLevel="0" collapsed="false">
      <c r="A15" s="79" t="s">
        <v>71</v>
      </c>
      <c r="B15" s="61"/>
      <c r="C15" s="61"/>
      <c r="D15" s="80"/>
      <c r="E15" s="77"/>
    </row>
    <row r="16" customFormat="false" ht="12.75" hidden="false" customHeight="false" outlineLevel="0" collapsed="false">
      <c r="A16" s="65"/>
      <c r="B16" s="66" t="s">
        <v>72</v>
      </c>
      <c r="C16" s="66"/>
      <c r="D16" s="81" t="n">
        <f aca="false">'Valuation Summary'!E11/'Valuation Summary'!D11</f>
        <v>0.365262611340977</v>
      </c>
      <c r="E16" s="77"/>
    </row>
    <row r="17" customFormat="false" ht="12.75" hidden="false" customHeight="false" outlineLevel="0" collapsed="false">
      <c r="A17" s="17"/>
      <c r="B17" s="16" t="s">
        <v>73</v>
      </c>
      <c r="C17" s="16"/>
      <c r="D17" s="82" t="n">
        <f aca="false">Assumptions!G44</f>
        <v>0.075</v>
      </c>
      <c r="E17" s="77"/>
    </row>
    <row r="18" customFormat="false" ht="12.75" hidden="false" customHeight="false" outlineLevel="0" collapsed="false">
      <c r="A18" s="74"/>
      <c r="B18" s="75" t="s">
        <v>74</v>
      </c>
      <c r="C18" s="75"/>
      <c r="D18" s="83" t="n">
        <f aca="false">D9</f>
        <v>10</v>
      </c>
      <c r="E18" s="77"/>
    </row>
    <row r="20" customFormat="false" ht="12.75" hidden="false" customHeight="false" outlineLevel="0" collapsed="false">
      <c r="A20" s="84" t="s">
        <v>75</v>
      </c>
      <c r="B20" s="85"/>
      <c r="C20" s="85"/>
      <c r="D20" s="85"/>
      <c r="E20" s="85"/>
      <c r="F20" s="85"/>
      <c r="G20" s="85"/>
      <c r="H20" s="85"/>
      <c r="I20" s="85"/>
    </row>
    <row r="21" customFormat="false" ht="38.25" hidden="false" customHeight="false" outlineLevel="0" collapsed="false">
      <c r="A21" s="65"/>
      <c r="B21" s="66"/>
      <c r="C21" s="86" t="s">
        <v>76</v>
      </c>
      <c r="D21" s="86" t="s">
        <v>77</v>
      </c>
      <c r="E21" s="86" t="s">
        <v>78</v>
      </c>
      <c r="F21" s="86" t="s">
        <v>79</v>
      </c>
      <c r="G21" s="86" t="s">
        <v>80</v>
      </c>
      <c r="H21" s="87" t="s">
        <v>81</v>
      </c>
      <c r="I21" s="88" t="s">
        <v>82</v>
      </c>
    </row>
    <row r="22" customFormat="false" ht="12.75" hidden="false" customHeight="false" outlineLevel="0" collapsed="false">
      <c r="A22" s="17"/>
      <c r="B22" s="16" t="str">
        <f aca="false">'Northern Natural DCF'!A2</f>
        <v>Northern Natural</v>
      </c>
      <c r="C22" s="89" t="n">
        <v>1</v>
      </c>
      <c r="D22" s="90" t="n">
        <v>1</v>
      </c>
      <c r="E22" s="91" t="n">
        <v>9</v>
      </c>
      <c r="F22" s="92" t="n">
        <f aca="false">ConsDRate</f>
        <v>0.075</v>
      </c>
      <c r="G22" s="93" t="n">
        <v>0.0225</v>
      </c>
      <c r="H22" s="94" t="str">
        <f aca="false">IF(NN_Loop=1,"Run Macro!","Okay")</f>
        <v>Okay</v>
      </c>
      <c r="I22" s="64"/>
    </row>
    <row r="23" customFormat="false" ht="12.75" hidden="false" customHeight="false" outlineLevel="0" collapsed="false">
      <c r="A23" s="17"/>
      <c r="B23" s="16"/>
      <c r="C23" s="16"/>
      <c r="D23" s="95"/>
      <c r="E23" s="95"/>
      <c r="F23" s="16"/>
      <c r="G23" s="95"/>
      <c r="H23" s="96"/>
      <c r="I23" s="64"/>
    </row>
    <row r="24" customFormat="false" ht="12.75" hidden="false" customHeight="false" outlineLevel="0" collapsed="false">
      <c r="A24" s="17"/>
      <c r="B24" s="16" t="str">
        <f aca="false">'Transwestern DCF'!A2</f>
        <v>Transwestern</v>
      </c>
      <c r="C24" s="89" t="n">
        <v>1</v>
      </c>
      <c r="D24" s="90" t="n">
        <v>1</v>
      </c>
      <c r="E24" s="91" t="n">
        <f aca="false">E22</f>
        <v>9</v>
      </c>
      <c r="F24" s="92" t="n">
        <f aca="false">ConsDRate</f>
        <v>0.075</v>
      </c>
      <c r="G24" s="93" t="n">
        <v>0.0225</v>
      </c>
      <c r="H24" s="94" t="str">
        <f aca="false">IF(TW_Loop=1,"Run Macro!","Okay")</f>
        <v>Okay</v>
      </c>
      <c r="I24" s="64"/>
    </row>
    <row r="25" customFormat="false" ht="12.75" hidden="false" customHeight="false" outlineLevel="0" collapsed="false">
      <c r="A25" s="17"/>
      <c r="B25" s="16"/>
      <c r="C25" s="16"/>
      <c r="D25" s="95"/>
      <c r="E25" s="95"/>
      <c r="F25" s="16"/>
      <c r="G25" s="95"/>
      <c r="H25" s="96"/>
      <c r="I25" s="64"/>
    </row>
    <row r="26" customFormat="false" ht="12.75" hidden="false" customHeight="false" outlineLevel="0" collapsed="false">
      <c r="A26" s="17"/>
      <c r="B26" s="16" t="str">
        <f aca="false">'NBP DCF'!A2</f>
        <v>Northern Border Partners</v>
      </c>
      <c r="C26" s="89" t="n">
        <v>1</v>
      </c>
      <c r="D26" s="90" t="n">
        <f aca="false">(0.02)*0.7</f>
        <v>0.014</v>
      </c>
      <c r="E26" s="91" t="n">
        <f aca="false">E22</f>
        <v>9</v>
      </c>
      <c r="F26" s="92" t="n">
        <f aca="false">ConsDRate</f>
        <v>0.075</v>
      </c>
      <c r="G26" s="93" t="n">
        <v>0.0225</v>
      </c>
      <c r="H26" s="97" t="str">
        <f aca="false">IF(NBP_Loop=1,"Run Macro!","Okay")</f>
        <v>Okay</v>
      </c>
      <c r="I26" s="98" t="n">
        <v>40</v>
      </c>
    </row>
    <row r="27" customFormat="false" ht="12.75" hidden="false" customHeight="false" outlineLevel="0" collapsed="false">
      <c r="A27" s="17"/>
      <c r="B27" s="16"/>
      <c r="C27" s="16"/>
      <c r="D27" s="95"/>
      <c r="E27" s="95"/>
      <c r="F27" s="16"/>
      <c r="G27" s="95"/>
      <c r="H27" s="96"/>
      <c r="I27" s="64"/>
    </row>
    <row r="28" customFormat="false" ht="12.75" hidden="false" customHeight="false" outlineLevel="0" collapsed="false">
      <c r="A28" s="17"/>
      <c r="B28" s="16" t="str">
        <f aca="false">'Citrus DCF'!A2</f>
        <v>Citrus</v>
      </c>
      <c r="C28" s="89" t="n">
        <v>1</v>
      </c>
      <c r="D28" s="90" t="n">
        <v>0.5</v>
      </c>
      <c r="E28" s="91" t="n">
        <f aca="false">E22</f>
        <v>9</v>
      </c>
      <c r="F28" s="92" t="n">
        <f aca="false">ConsDRate</f>
        <v>0.075</v>
      </c>
      <c r="G28" s="90" t="n">
        <v>0.015</v>
      </c>
      <c r="H28" s="97" t="str">
        <f aca="false">IF(CitrusLoop=1,"Run Macro!","Okay")</f>
        <v>Okay</v>
      </c>
      <c r="I28" s="64"/>
    </row>
    <row r="29" customFormat="false" ht="12.75" hidden="false" customHeight="false" outlineLevel="0" collapsed="false">
      <c r="A29" s="17"/>
      <c r="B29" s="16"/>
      <c r="C29" s="99"/>
      <c r="D29" s="100"/>
      <c r="E29" s="101"/>
      <c r="F29" s="102"/>
      <c r="G29" s="100"/>
      <c r="H29" s="97"/>
      <c r="I29" s="64"/>
    </row>
    <row r="30" customFormat="false" ht="12.75" hidden="false" customHeight="false" outlineLevel="0" collapsed="false">
      <c r="A30" s="74"/>
      <c r="B30" s="75" t="s">
        <v>83</v>
      </c>
      <c r="C30" s="103" t="n">
        <v>1</v>
      </c>
      <c r="D30" s="104" t="n">
        <v>0.333</v>
      </c>
      <c r="E30" s="105" t="n">
        <f aca="false">E28</f>
        <v>9</v>
      </c>
      <c r="F30" s="106" t="n">
        <f aca="false">ConsDRate</f>
        <v>0.075</v>
      </c>
      <c r="G30" s="107" t="n">
        <v>0.036</v>
      </c>
      <c r="H30" s="108" t="str">
        <f aca="false">IF(TB_Loop=1,"Run Macro!","Okay")</f>
        <v>Okay</v>
      </c>
      <c r="I30" s="109"/>
    </row>
    <row r="31" customFormat="false" ht="15" hidden="true" customHeight="false" outlineLevel="1" collapsed="false">
      <c r="A31" s="110" t="s">
        <v>84</v>
      </c>
      <c r="B31" s="16"/>
      <c r="C31" s="16"/>
      <c r="D31" s="16"/>
      <c r="E31" s="16"/>
      <c r="F31" s="16"/>
      <c r="G31" s="16"/>
      <c r="H31" s="16"/>
      <c r="I31" s="64"/>
    </row>
    <row r="32" customFormat="false" ht="12.75" hidden="true" customHeight="false" outlineLevel="1" collapsed="false">
      <c r="A32" s="17"/>
      <c r="B32" s="65"/>
      <c r="C32" s="111" t="s">
        <v>85</v>
      </c>
      <c r="D32" s="111"/>
      <c r="E32" s="112"/>
      <c r="F32" s="16"/>
      <c r="G32" s="16"/>
      <c r="H32" s="16"/>
      <c r="I32" s="64"/>
    </row>
    <row r="33" customFormat="false" ht="12.75" hidden="true" customHeight="false" outlineLevel="1" collapsed="false">
      <c r="A33" s="17"/>
      <c r="B33" s="113" t="s">
        <v>86</v>
      </c>
      <c r="C33" s="114"/>
      <c r="D33" s="115"/>
      <c r="E33" s="116"/>
      <c r="F33" s="16"/>
      <c r="G33" s="16"/>
      <c r="H33" s="16"/>
      <c r="I33" s="64"/>
    </row>
    <row r="34" customFormat="false" ht="12.75" hidden="true" customHeight="false" outlineLevel="1" collapsed="false">
      <c r="A34" s="17"/>
      <c r="B34" s="113" t="s">
        <v>87</v>
      </c>
      <c r="C34" s="115" t="s">
        <v>88</v>
      </c>
      <c r="D34" s="115"/>
      <c r="E34" s="116"/>
      <c r="F34" s="16"/>
      <c r="G34" s="16"/>
      <c r="H34" s="16"/>
      <c r="I34" s="64"/>
    </row>
    <row r="35" customFormat="false" ht="12.75" hidden="true" customHeight="false" outlineLevel="1" collapsed="false">
      <c r="A35" s="17"/>
      <c r="B35" s="117" t="s">
        <v>89</v>
      </c>
      <c r="C35" s="118" t="s">
        <v>90</v>
      </c>
      <c r="D35" s="118"/>
      <c r="E35" s="119"/>
      <c r="F35" s="16"/>
      <c r="G35" s="16"/>
      <c r="H35" s="16"/>
      <c r="I35" s="64"/>
    </row>
    <row r="36" customFormat="false" ht="12.75" hidden="true" customHeight="false" outlineLevel="1" collapsed="false">
      <c r="A36" s="17"/>
      <c r="B36" s="16"/>
      <c r="C36" s="16"/>
      <c r="D36" s="16"/>
      <c r="E36" s="16"/>
      <c r="F36" s="16"/>
      <c r="G36" s="16"/>
      <c r="H36" s="16"/>
      <c r="I36" s="64"/>
    </row>
    <row r="37" customFormat="false" ht="15" hidden="true" customHeight="false" outlineLevel="1" collapsed="false">
      <c r="A37" s="110" t="s">
        <v>91</v>
      </c>
      <c r="B37" s="16"/>
      <c r="C37" s="16"/>
      <c r="D37" s="16"/>
      <c r="E37" s="16"/>
      <c r="F37" s="16"/>
      <c r="G37" s="16"/>
      <c r="H37" s="16"/>
      <c r="I37" s="64"/>
    </row>
    <row r="38" customFormat="false" ht="12.75" hidden="true" customHeight="false" outlineLevel="1" collapsed="false">
      <c r="A38" s="17"/>
      <c r="B38" s="65"/>
      <c r="C38" s="111" t="s">
        <v>85</v>
      </c>
      <c r="D38" s="111"/>
      <c r="E38" s="112"/>
      <c r="F38" s="16"/>
      <c r="G38" s="16"/>
      <c r="H38" s="16"/>
      <c r="I38" s="64"/>
    </row>
    <row r="39" customFormat="false" ht="12.75" hidden="true" customHeight="false" outlineLevel="1" collapsed="false">
      <c r="A39" s="17"/>
      <c r="B39" s="113" t="s">
        <v>86</v>
      </c>
      <c r="C39" s="114"/>
      <c r="D39" s="115"/>
      <c r="E39" s="116"/>
      <c r="F39" s="16"/>
      <c r="G39" s="16"/>
      <c r="H39" s="16"/>
      <c r="I39" s="64"/>
    </row>
    <row r="40" customFormat="false" ht="12.75" hidden="true" customHeight="false" outlineLevel="1" collapsed="false">
      <c r="A40" s="17"/>
      <c r="B40" s="113" t="s">
        <v>87</v>
      </c>
      <c r="C40" s="115" t="s">
        <v>90</v>
      </c>
      <c r="D40" s="115"/>
      <c r="E40" s="116"/>
      <c r="F40" s="16"/>
      <c r="G40" s="16"/>
      <c r="H40" s="16"/>
      <c r="I40" s="64"/>
    </row>
    <row r="41" customFormat="false" ht="12.75" hidden="true" customHeight="false" outlineLevel="1" collapsed="false">
      <c r="A41" s="74"/>
      <c r="B41" s="117" t="s">
        <v>89</v>
      </c>
      <c r="C41" s="118" t="s">
        <v>88</v>
      </c>
      <c r="D41" s="118"/>
      <c r="E41" s="119"/>
      <c r="F41" s="75"/>
      <c r="G41" s="75"/>
      <c r="H41" s="75"/>
      <c r="I41" s="109"/>
    </row>
    <row r="43" customFormat="false" ht="24" hidden="false" customHeight="false" outlineLevel="0" collapsed="false">
      <c r="A43" s="120" t="s">
        <v>92</v>
      </c>
      <c r="B43" s="121"/>
      <c r="C43" s="122"/>
      <c r="D43" s="123" t="s">
        <v>93</v>
      </c>
      <c r="E43" s="123"/>
      <c r="F43" s="123" t="s">
        <v>94</v>
      </c>
      <c r="G43" s="123" t="s">
        <v>73</v>
      </c>
      <c r="H43" s="123" t="s">
        <v>95</v>
      </c>
      <c r="I43" s="123" t="s">
        <v>96</v>
      </c>
      <c r="J43" s="124" t="s">
        <v>97</v>
      </c>
    </row>
    <row r="44" customFormat="false" ht="12.75" hidden="false" customHeight="false" outlineLevel="0" collapsed="false">
      <c r="A44" s="125"/>
      <c r="B44" s="96"/>
      <c r="C44" s="126" t="s">
        <v>98</v>
      </c>
      <c r="D44" s="90" t="n">
        <f aca="false">Assumptions!D16</f>
        <v>0.365262611340977</v>
      </c>
      <c r="E44" s="90"/>
      <c r="F44" s="127" t="n">
        <v>10</v>
      </c>
      <c r="G44" s="128" t="n">
        <f aca="false">Scenarios!B45</f>
        <v>0.075</v>
      </c>
      <c r="H44" s="129" t="n">
        <v>1</v>
      </c>
      <c r="I44" s="91" t="n">
        <v>2</v>
      </c>
      <c r="J44" s="130" t="n">
        <v>1</v>
      </c>
    </row>
    <row r="45" customFormat="false" ht="12.75" hidden="false" customHeight="false" outlineLevel="0" collapsed="false">
      <c r="A45" s="125"/>
      <c r="B45" s="96"/>
      <c r="C45" s="126" t="s">
        <v>99</v>
      </c>
      <c r="D45" s="90" t="n">
        <v>0</v>
      </c>
      <c r="E45" s="90"/>
      <c r="F45" s="127" t="n">
        <v>8</v>
      </c>
      <c r="G45" s="128" t="n">
        <f aca="false">6.82%+3.5%</f>
        <v>0.1032</v>
      </c>
      <c r="H45" s="129" t="n">
        <v>1</v>
      </c>
      <c r="I45" s="91" t="n">
        <v>2</v>
      </c>
      <c r="J45" s="130" t="n">
        <v>0.2</v>
      </c>
    </row>
    <row r="46" customFormat="false" ht="12.75" hidden="false" customHeight="false" outlineLevel="0" collapsed="false">
      <c r="A46" s="125"/>
      <c r="B46" s="96"/>
      <c r="C46" s="126" t="s">
        <v>100</v>
      </c>
      <c r="D46" s="131" t="n">
        <f aca="false">'Valuation Summary'!D52-D44-D45</f>
        <v>0</v>
      </c>
      <c r="E46" s="131"/>
      <c r="F46" s="127" t="n">
        <v>7</v>
      </c>
      <c r="G46" s="128" t="n">
        <f aca="false">5.8%+5.2%</f>
        <v>0.11</v>
      </c>
      <c r="H46" s="129" t="n">
        <v>0</v>
      </c>
      <c r="I46" s="91" t="n">
        <v>1</v>
      </c>
      <c r="J46" s="130" t="n">
        <v>0</v>
      </c>
    </row>
    <row r="47" customFormat="false" ht="12.75" hidden="false" customHeight="false" outlineLevel="0" collapsed="false">
      <c r="A47" s="125"/>
      <c r="B47" s="96"/>
      <c r="C47" s="126" t="s">
        <v>101</v>
      </c>
      <c r="D47" s="131" t="s">
        <v>102</v>
      </c>
      <c r="E47" s="131"/>
      <c r="F47" s="127" t="s">
        <v>102</v>
      </c>
      <c r="G47" s="128" t="n">
        <v>0.095</v>
      </c>
      <c r="H47" s="129" t="n">
        <v>1</v>
      </c>
      <c r="I47" s="91" t="s">
        <v>102</v>
      </c>
      <c r="J47" s="130" t="s">
        <v>102</v>
      </c>
    </row>
    <row r="48" customFormat="false" ht="12.75" hidden="false" customHeight="false" outlineLevel="0" collapsed="false">
      <c r="A48" s="125"/>
      <c r="B48" s="126"/>
      <c r="C48" s="132" t="s">
        <v>103</v>
      </c>
      <c r="D48" s="90" t="n">
        <v>0.5</v>
      </c>
      <c r="E48" s="90"/>
      <c r="F48" s="133"/>
      <c r="G48" s="133"/>
      <c r="H48" s="133"/>
      <c r="I48" s="134"/>
      <c r="J48" s="135"/>
    </row>
    <row r="49" customFormat="false" ht="12.75" hidden="false" customHeight="false" outlineLevel="0" collapsed="false">
      <c r="A49" s="136"/>
      <c r="B49" s="137"/>
      <c r="C49" s="138" t="s">
        <v>104</v>
      </c>
      <c r="D49" s="139" t="n">
        <v>0.5</v>
      </c>
      <c r="E49" s="139"/>
      <c r="F49" s="140" t="s">
        <v>105</v>
      </c>
      <c r="G49" s="141"/>
      <c r="H49" s="141"/>
      <c r="I49" s="75"/>
      <c r="J49" s="142"/>
    </row>
  </sheetData>
  <printOptions headings="false" gridLines="false" gridLinesSet="true" horizontalCentered="false" verticalCentered="false"/>
  <pageMargins left="0.170138888888889" right="0.1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22.7"/>
    <col collapsed="false" customWidth="true" hidden="false" outlineLevel="0" max="2" min="2" style="0" width="15.28"/>
    <col collapsed="false" customWidth="true" hidden="false" outlineLevel="0" max="3" min="3" style="0" width="5.28"/>
    <col collapsed="false" customWidth="true" hidden="false" outlineLevel="0" max="4" min="4" style="0" width="22.14"/>
    <col collapsed="false" customWidth="true" hidden="false" outlineLevel="0" max="5" min="5" style="0" width="20.41"/>
    <col collapsed="false" customWidth="true" hidden="false" outlineLevel="0" max="6" min="6" style="0" width="16.7"/>
    <col collapsed="false" customWidth="true" hidden="false" outlineLevel="0" max="7" min="7" style="0" width="15.13"/>
    <col collapsed="false" customWidth="true" hidden="false" outlineLevel="0" max="12" min="8" style="0" width="14.56"/>
    <col collapsed="false" customWidth="true" hidden="false" outlineLevel="0" max="13" min="13" style="0" width="14.14"/>
    <col collapsed="false" customWidth="true" hidden="false" outlineLevel="0" max="14" min="14" style="0" width="15.99"/>
    <col collapsed="false" customWidth="true" hidden="false" outlineLevel="0" max="15" min="15" style="0" width="10.71"/>
    <col collapsed="false" customWidth="true" hidden="false" outlineLevel="0" max="16" min="16" style="0" width="13.14"/>
    <col collapsed="false" customWidth="true" hidden="false" outlineLevel="0" max="17" min="17" style="0" width="11.28"/>
  </cols>
  <sheetData>
    <row r="1" customFormat="false" ht="20.25" hidden="false" customHeight="false" outlineLevel="0" collapsed="false">
      <c r="A1" s="143" t="str">
        <f aca="false">"Project "&amp;Assumptions!D6</f>
        <v>Project ETS</v>
      </c>
      <c r="B1" s="144"/>
      <c r="C1" s="144"/>
      <c r="D1" s="144"/>
      <c r="E1" s="145"/>
      <c r="F1" s="96"/>
      <c r="G1" s="9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customFormat="false" ht="16.5" hidden="false" customHeight="false" outlineLevel="0" collapsed="false">
      <c r="A2" s="147" t="s">
        <v>106</v>
      </c>
      <c r="B2" s="148"/>
      <c r="C2" s="148"/>
      <c r="D2" s="148"/>
      <c r="E2" s="149"/>
      <c r="F2" s="96"/>
      <c r="G2" s="9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customFormat="false" ht="15.75" hidden="false" customHeight="false" outlineLevel="0" collapsed="false">
      <c r="A3" s="150"/>
      <c r="B3" s="96"/>
      <c r="C3" s="96"/>
      <c r="D3" s="96"/>
      <c r="E3" s="96"/>
      <c r="F3" s="96"/>
      <c r="G3" s="9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customFormat="false" ht="15.75" hidden="false" customHeight="false" outlineLevel="0" collapsed="false">
      <c r="A4" s="150" t="s">
        <v>107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customFormat="false" ht="25.5" hidden="false" customHeight="false" outlineLevel="0" collapsed="false">
      <c r="A5" s="84"/>
      <c r="B5" s="151"/>
      <c r="C5" s="152"/>
      <c r="D5" s="153" t="s">
        <v>108</v>
      </c>
      <c r="E5" s="153" t="s">
        <v>109</v>
      </c>
      <c r="F5" s="153" t="s">
        <v>110</v>
      </c>
      <c r="G5" s="153" t="s">
        <v>111</v>
      </c>
      <c r="H5" s="153" t="s">
        <v>112</v>
      </c>
    </row>
    <row r="6" customFormat="false" ht="13.5" hidden="false" customHeight="true" outlineLevel="0" collapsed="false">
      <c r="A6" s="154" t="str">
        <f aca="false">'Northern Natural DCF'!A2</f>
        <v>Northern Natural</v>
      </c>
      <c r="B6" s="155" t="n">
        <f aca="false">Assumptions!C22</f>
        <v>1</v>
      </c>
      <c r="D6" s="156" t="n">
        <f aca="false">IF(B6=1,NN_PurPrice,0)</f>
        <v>2561670.76206941</v>
      </c>
      <c r="E6" s="157" t="n">
        <f aca="false">511300+450000</f>
        <v>961300</v>
      </c>
      <c r="F6" s="158" t="n">
        <f aca="false">D6-E6</f>
        <v>1600370.76206941</v>
      </c>
      <c r="G6" s="159" t="n">
        <f aca="false">Assumptions!D22</f>
        <v>1</v>
      </c>
      <c r="H6" s="160" t="n">
        <f aca="false">F6*G6</f>
        <v>1600370.76206941</v>
      </c>
    </row>
    <row r="7" customFormat="false" ht="13.5" hidden="false" customHeight="true" outlineLevel="0" collapsed="false">
      <c r="A7" s="96" t="str">
        <f aca="false">'Transwestern DCF'!A2</f>
        <v>Transwestern</v>
      </c>
      <c r="B7" s="161" t="n">
        <f aca="false">Assumptions!C24</f>
        <v>1</v>
      </c>
      <c r="D7" s="158" t="n">
        <f aca="false">IF(B7=1,TW_PurPrice,0)</f>
        <v>1584209.80244029</v>
      </c>
      <c r="E7" s="157" t="n">
        <v>550000</v>
      </c>
      <c r="F7" s="158" t="n">
        <f aca="false">D7-E7</f>
        <v>1034209.80244029</v>
      </c>
      <c r="G7" s="159" t="n">
        <f aca="false">Assumptions!D24</f>
        <v>1</v>
      </c>
      <c r="H7" s="160" t="n">
        <f aca="false">F7*G7</f>
        <v>1034209.80244029</v>
      </c>
    </row>
    <row r="8" customFormat="false" ht="12.75" hidden="false" customHeight="false" outlineLevel="0" collapsed="false">
      <c r="A8" s="96" t="str">
        <f aca="false">'NBP DCF'!A2</f>
        <v>Northern Border Partners</v>
      </c>
      <c r="B8" s="161" t="n">
        <f aca="false">Assumptions!C26</f>
        <v>1</v>
      </c>
      <c r="D8" s="158" t="n">
        <f aca="false">IF(B8=1,NBP_PurPrice,0)</f>
        <v>2984308.80117002</v>
      </c>
      <c r="E8" s="157" t="n">
        <f aca="false">1127498</f>
        <v>1127498</v>
      </c>
      <c r="F8" s="158" t="n">
        <f aca="false">D8-E8</f>
        <v>1856810.80117002</v>
      </c>
      <c r="G8" s="162" t="n">
        <f aca="false">Assumptions!D26</f>
        <v>0.014</v>
      </c>
      <c r="H8" s="160" t="n">
        <f aca="false">(F8*G8)+3200*Assumptions!I26</f>
        <v>153995.35121638</v>
      </c>
    </row>
    <row r="9" customFormat="false" ht="12.75" hidden="false" customHeight="false" outlineLevel="0" collapsed="false">
      <c r="A9" s="163" t="s">
        <v>48</v>
      </c>
      <c r="B9" s="161" t="n">
        <f aca="false">Assumptions!C28</f>
        <v>1</v>
      </c>
      <c r="C9" s="16"/>
      <c r="D9" s="158" t="n">
        <f aca="false">IF(B9=1,CitrusPurPrice,0)</f>
        <v>2774093.74620238</v>
      </c>
      <c r="E9" s="157" t="n">
        <v>1054250</v>
      </c>
      <c r="F9" s="158" t="n">
        <f aca="false">D9-E9</f>
        <v>1719843.74620238</v>
      </c>
      <c r="G9" s="164" t="n">
        <f aca="false">Assumptions!D28</f>
        <v>0.5</v>
      </c>
      <c r="H9" s="160" t="n">
        <f aca="false">F9*G9</f>
        <v>859921.873101192</v>
      </c>
    </row>
    <row r="10" customFormat="false" ht="12.75" hidden="false" customHeight="false" outlineLevel="0" collapsed="false">
      <c r="A10" s="165" t="s">
        <v>83</v>
      </c>
      <c r="B10" s="166" t="n">
        <f aca="false">Assumptions!C30</f>
        <v>1</v>
      </c>
      <c r="C10" s="75"/>
      <c r="D10" s="167" t="n">
        <f aca="false">IF(B10=1,TB_PurPrice,0)</f>
        <v>234033.499294574</v>
      </c>
      <c r="E10" s="168" t="n">
        <v>10100</v>
      </c>
      <c r="F10" s="167" t="n">
        <f aca="false">D10-E10</f>
        <v>223933.499294574</v>
      </c>
      <c r="G10" s="169" t="n">
        <f aca="false">Assumptions!D30</f>
        <v>0.333</v>
      </c>
      <c r="H10" s="170" t="n">
        <f aca="false">F10*G10</f>
        <v>74569.8552650933</v>
      </c>
    </row>
    <row r="11" customFormat="false" ht="12.75" hidden="false" customHeight="false" outlineLevel="0" collapsed="false">
      <c r="A11" s="171" t="s">
        <v>113</v>
      </c>
      <c r="B11" s="172"/>
      <c r="C11" s="172"/>
      <c r="D11" s="173" t="n">
        <f aca="false">SUM(D6:D10)</f>
        <v>10138316.6111767</v>
      </c>
      <c r="E11" s="173" t="n">
        <f aca="false">SUM(E6:E10)</f>
        <v>3703148</v>
      </c>
      <c r="F11" s="173" t="n">
        <f aca="false">SUM(F6:F10)</f>
        <v>6435168.61117668</v>
      </c>
      <c r="G11" s="174" t="n">
        <f aca="false">SUMPRODUCT(F6:F10,G6:G10)/F11</f>
        <v>0.558659432458135</v>
      </c>
      <c r="H11" s="173" t="n">
        <f aca="false">SUM(H6:H10)</f>
        <v>3723067.64409237</v>
      </c>
    </row>
    <row r="12" customFormat="false" ht="12.75" hidden="false" customHeight="false" outlineLevel="0" collapsed="false">
      <c r="A12" s="175"/>
      <c r="B12" s="25"/>
      <c r="C12" s="25"/>
      <c r="D12" s="176"/>
      <c r="E12" s="177"/>
      <c r="F12" s="176"/>
      <c r="G12" s="178"/>
      <c r="H12" s="176"/>
      <c r="I12" s="25"/>
      <c r="J12" s="25"/>
      <c r="K12" s="176"/>
      <c r="L12" s="176"/>
      <c r="M12" s="176"/>
      <c r="N12" s="16"/>
      <c r="O12" s="96"/>
      <c r="P12" s="96"/>
      <c r="Q12" s="16"/>
    </row>
    <row r="13" customFormat="false" ht="12.75" hidden="false" customHeight="false" outlineLevel="0" collapsed="false">
      <c r="A13" s="175"/>
      <c r="B13" s="25"/>
      <c r="C13" s="25"/>
      <c r="D13" s="176"/>
      <c r="E13" s="176"/>
      <c r="F13" s="176"/>
      <c r="G13" s="178"/>
      <c r="H13" s="176"/>
      <c r="I13" s="25"/>
      <c r="J13" s="25"/>
      <c r="K13" s="176"/>
      <c r="L13" s="176"/>
      <c r="M13" s="176"/>
      <c r="N13" s="16"/>
      <c r="O13" s="96"/>
      <c r="P13" s="96"/>
      <c r="Q13" s="16"/>
    </row>
    <row r="14" customFormat="false" ht="15.75" hidden="false" customHeight="false" outlineLevel="0" collapsed="false">
      <c r="A14" s="179" t="s">
        <v>114</v>
      </c>
      <c r="B14" s="25"/>
      <c r="C14" s="25"/>
      <c r="D14" s="176"/>
      <c r="E14" s="176"/>
      <c r="F14" s="176"/>
      <c r="G14" s="178"/>
      <c r="H14" s="176"/>
      <c r="I14" s="25"/>
      <c r="J14" s="25"/>
      <c r="K14" s="176"/>
      <c r="L14" s="176"/>
      <c r="M14" s="176"/>
      <c r="N14" s="16"/>
      <c r="O14" s="96"/>
      <c r="P14" s="96"/>
      <c r="Q14" s="16"/>
    </row>
    <row r="15" customFormat="false" ht="38.25" hidden="false" customHeight="false" outlineLevel="0" collapsed="false">
      <c r="A15" s="152"/>
      <c r="B15" s="153" t="s">
        <v>112</v>
      </c>
      <c r="C15" s="180"/>
      <c r="D15" s="153" t="s">
        <v>115</v>
      </c>
      <c r="E15" s="153" t="s">
        <v>116</v>
      </c>
      <c r="F15" s="153" t="s">
        <v>117</v>
      </c>
      <c r="G15" s="153" t="s">
        <v>118</v>
      </c>
      <c r="H15" s="153" t="s">
        <v>119</v>
      </c>
      <c r="I15" s="153" t="s">
        <v>120</v>
      </c>
      <c r="J15" s="153" t="s">
        <v>121</v>
      </c>
      <c r="K15" s="153" t="s">
        <v>122</v>
      </c>
      <c r="L15" s="153" t="s">
        <v>123</v>
      </c>
      <c r="M15" s="153" t="s">
        <v>124</v>
      </c>
      <c r="N15" s="16"/>
      <c r="O15" s="181" t="s">
        <v>125</v>
      </c>
      <c r="P15" s="96"/>
      <c r="Q15" s="16"/>
    </row>
    <row r="16" customFormat="false" ht="13.5" hidden="false" customHeight="false" outlineLevel="0" collapsed="false">
      <c r="A16" s="154" t="str">
        <f aca="false">'Northern Natural DCF'!A2</f>
        <v>Northern Natural</v>
      </c>
      <c r="B16" s="182" t="n">
        <f aca="false">H6</f>
        <v>1600370.76206941</v>
      </c>
      <c r="D16" s="183" t="n">
        <v>0</v>
      </c>
      <c r="E16" s="184" t="n">
        <f aca="false">+H6</f>
        <v>1600370.76206941</v>
      </c>
      <c r="F16" s="185" t="n">
        <f aca="false">H6-E16</f>
        <v>0</v>
      </c>
      <c r="G16" s="186" t="n">
        <v>1127500</v>
      </c>
      <c r="H16" s="187" t="n">
        <v>731800</v>
      </c>
      <c r="I16" s="186" t="n">
        <f aca="false">+E16-G16</f>
        <v>472870.762069413</v>
      </c>
      <c r="J16" s="186" t="n">
        <f aca="false">+I16-(I16*Assumptions!$D$10)</f>
        <v>290815.518672689</v>
      </c>
      <c r="K16" s="188" t="n">
        <f aca="false">+(E16-H16)*Assumptions!$D$10</f>
        <v>334399.743396724</v>
      </c>
      <c r="L16" s="188" t="n">
        <v>390733</v>
      </c>
      <c r="M16" s="188" t="n">
        <f aca="false">+E16-K16-L16</f>
        <v>875238.018672689</v>
      </c>
      <c r="N16" s="16"/>
      <c r="O16" s="189" t="n">
        <v>311900</v>
      </c>
      <c r="P16" s="96"/>
      <c r="Q16" s="16"/>
    </row>
    <row r="17" customFormat="false" ht="13.5" hidden="false" customHeight="false" outlineLevel="0" collapsed="false">
      <c r="A17" s="96" t="str">
        <f aca="false">'Transwestern DCF'!A2</f>
        <v>Transwestern</v>
      </c>
      <c r="B17" s="182" t="n">
        <f aca="false">H7</f>
        <v>1034209.80244029</v>
      </c>
      <c r="D17" s="190" t="n">
        <v>0</v>
      </c>
      <c r="E17" s="184" t="n">
        <f aca="false">+H7</f>
        <v>1034209.80244029</v>
      </c>
      <c r="F17" s="185" t="n">
        <f aca="false">H7-E17</f>
        <v>0</v>
      </c>
      <c r="G17" s="186" t="n">
        <v>910400</v>
      </c>
      <c r="H17" s="187" t="n">
        <v>1073000</v>
      </c>
      <c r="I17" s="186" t="n">
        <f aca="false">+E17-G17</f>
        <v>123809.802440293</v>
      </c>
      <c r="J17" s="186" t="n">
        <f aca="false">+I17-(I17*Assumptions!$D$10)</f>
        <v>76143.0285007803</v>
      </c>
      <c r="K17" s="188" t="n">
        <f aca="false">+(E17-H17)*Assumptions!$D$10</f>
        <v>-14934.2260604871</v>
      </c>
      <c r="L17" s="188" t="n">
        <v>274934</v>
      </c>
      <c r="M17" s="188" t="n">
        <f aca="false">+E17-K17-L17</f>
        <v>774210.02850078</v>
      </c>
      <c r="N17" s="16"/>
      <c r="O17" s="189" t="n">
        <v>235600</v>
      </c>
      <c r="P17" s="96"/>
      <c r="Q17" s="16"/>
    </row>
    <row r="18" customFormat="false" ht="13.5" hidden="false" customHeight="false" outlineLevel="0" collapsed="false">
      <c r="A18" s="96" t="str">
        <f aca="false">'NBP DCF'!A2</f>
        <v>Northern Border Partners</v>
      </c>
      <c r="B18" s="182" t="n">
        <f aca="false">H8</f>
        <v>153995.35121638</v>
      </c>
      <c r="D18" s="183" t="n">
        <v>0</v>
      </c>
      <c r="E18" s="184" t="n">
        <f aca="false">+H8</f>
        <v>153995.35121638</v>
      </c>
      <c r="F18" s="185" t="n">
        <f aca="false">H8-E18</f>
        <v>0</v>
      </c>
      <c r="G18" s="186" t="n">
        <v>146300</v>
      </c>
      <c r="H18" s="187" t="n">
        <f aca="false">-13500-200</f>
        <v>-13700</v>
      </c>
      <c r="I18" s="186" t="n">
        <f aca="false">+E18-G18</f>
        <v>7695.35121638031</v>
      </c>
      <c r="J18" s="186" t="n">
        <f aca="false">+I18-(I18*Assumptions!$D$10)</f>
        <v>4732.64099807389</v>
      </c>
      <c r="K18" s="188" t="n">
        <f aca="false">+(E18-H18)*Assumptions!$D$10</f>
        <v>64562.7102183064</v>
      </c>
      <c r="L18" s="188" t="n">
        <v>0</v>
      </c>
      <c r="M18" s="188" t="n">
        <f aca="false">+E18-K18-L18</f>
        <v>89432.6409980739</v>
      </c>
      <c r="N18" s="16"/>
      <c r="O18" s="189" t="n">
        <v>-13700</v>
      </c>
      <c r="P18" s="96"/>
      <c r="Q18" s="16"/>
    </row>
    <row r="19" customFormat="false" ht="13.5" hidden="false" customHeight="false" outlineLevel="0" collapsed="false">
      <c r="A19" s="163" t="s">
        <v>48</v>
      </c>
      <c r="B19" s="182" t="n">
        <f aca="false">H9</f>
        <v>859921.873101192</v>
      </c>
      <c r="C19" s="16"/>
      <c r="D19" s="190" t="n">
        <v>0</v>
      </c>
      <c r="E19" s="184" t="n">
        <f aca="false">+H9</f>
        <v>859921.873101192</v>
      </c>
      <c r="F19" s="191" t="n">
        <f aca="false">H9-E19</f>
        <v>0</v>
      </c>
      <c r="G19" s="186" t="n">
        <v>557200</v>
      </c>
      <c r="H19" s="192" t="n">
        <v>233100</v>
      </c>
      <c r="I19" s="186" t="n">
        <f aca="false">+E19-G19</f>
        <v>302721.873101192</v>
      </c>
      <c r="J19" s="186" t="n">
        <f aca="false">+I19-(I19*Assumptions!$D$10)</f>
        <v>186173.951957233</v>
      </c>
      <c r="K19" s="188" t="n">
        <f aca="false">+(E19-H19)*Assumptions!$D$10</f>
        <v>241326.421143959</v>
      </c>
      <c r="L19" s="188" t="n">
        <v>0</v>
      </c>
      <c r="M19" s="188" t="n">
        <f aca="false">+E19-K19-L19</f>
        <v>618595.451957233</v>
      </c>
      <c r="N19" s="16"/>
      <c r="O19" s="189" t="n">
        <v>0</v>
      </c>
      <c r="P19" s="96"/>
      <c r="Q19" s="16"/>
    </row>
    <row r="20" customFormat="false" ht="12.75" hidden="false" customHeight="false" outlineLevel="0" collapsed="false">
      <c r="A20" s="165" t="str">
        <f aca="false">A10</f>
        <v>Trailblazer</v>
      </c>
      <c r="B20" s="182" t="n">
        <f aca="false">H10</f>
        <v>74569.8552650933</v>
      </c>
      <c r="D20" s="134" t="n">
        <v>0</v>
      </c>
      <c r="E20" s="193" t="n">
        <f aca="false">+H10</f>
        <v>74569.8552650933</v>
      </c>
      <c r="F20" s="194" t="n">
        <f aca="false">H10-E20</f>
        <v>0</v>
      </c>
      <c r="G20" s="186" t="n">
        <v>47100</v>
      </c>
      <c r="H20" s="195" t="n">
        <v>27100</v>
      </c>
      <c r="I20" s="186" t="n">
        <f aca="false">+E20-G20</f>
        <v>27469.8552650933</v>
      </c>
      <c r="J20" s="186" t="n">
        <f aca="false">+I20-(I20*Assumptions!$D$10)</f>
        <v>16893.9609880324</v>
      </c>
      <c r="K20" s="188" t="n">
        <f aca="false">+(E20-H20)*Assumptions!$D$10</f>
        <v>18275.8942770609</v>
      </c>
      <c r="L20" s="188" t="n">
        <v>0</v>
      </c>
      <c r="M20" s="188" t="n">
        <f aca="false">+E20-K20-L20</f>
        <v>56293.9609880324</v>
      </c>
      <c r="N20" s="16"/>
      <c r="O20" s="189" t="n">
        <v>5500</v>
      </c>
      <c r="P20" s="96"/>
      <c r="Q20" s="16"/>
    </row>
    <row r="21" customFormat="false" ht="12.75" hidden="false" customHeight="false" outlineLevel="0" collapsed="false">
      <c r="A21" s="171" t="s">
        <v>113</v>
      </c>
      <c r="B21" s="196" t="n">
        <f aca="false">SUM(B16:B20)</f>
        <v>3723067.64409237</v>
      </c>
      <c r="C21" s="197"/>
      <c r="D21" s="198"/>
      <c r="E21" s="196" t="n">
        <f aca="false">SUM(E16:E20)</f>
        <v>3723067.64409237</v>
      </c>
      <c r="F21" s="196" t="n">
        <f aca="false">SUM(F16:F20)</f>
        <v>0</v>
      </c>
      <c r="G21" s="196" t="n">
        <f aca="false">SUM(G16:G20)</f>
        <v>2788500</v>
      </c>
      <c r="H21" s="196" t="n">
        <f aca="false">SUM(H16:H20)</f>
        <v>2051300</v>
      </c>
      <c r="I21" s="196" t="n">
        <f aca="false">SUM(I16:I20)</f>
        <v>934567.644092371</v>
      </c>
      <c r="J21" s="196" t="n">
        <f aca="false">SUM(J16:J20)</f>
        <v>574759.101116808</v>
      </c>
      <c r="K21" s="199" t="n">
        <f aca="false">I21*Assumptions!D11</f>
        <v>359808.542975563</v>
      </c>
      <c r="L21" s="199"/>
      <c r="M21" s="196" t="n">
        <f aca="false">E21-K21</f>
        <v>3363259.10111681</v>
      </c>
      <c r="N21" s="16"/>
      <c r="O21" s="200" t="n">
        <f aca="false">SUM(O16:O20)</f>
        <v>539300</v>
      </c>
      <c r="P21" s="96"/>
      <c r="Q21" s="16"/>
    </row>
    <row r="22" customFormat="false" ht="12.75" hidden="false" customHeight="false" outlineLevel="0" collapsed="false">
      <c r="A22" s="175"/>
      <c r="B22" s="201"/>
      <c r="C22" s="16"/>
      <c r="D22" s="25"/>
      <c r="E22" s="176"/>
      <c r="F22" s="176"/>
      <c r="G22" s="16"/>
      <c r="H22" s="96"/>
      <c r="I22" s="96"/>
      <c r="J22" s="96"/>
      <c r="K22" s="16"/>
      <c r="L22" s="16"/>
      <c r="M22" s="176"/>
      <c r="N22" s="16"/>
      <c r="O22" s="96"/>
      <c r="P22" s="96"/>
      <c r="Q22" s="16"/>
    </row>
    <row r="23" customFormat="false" ht="13.5" hidden="true" customHeight="false" outlineLevel="0" collapsed="false">
      <c r="A23" s="202" t="s">
        <v>126</v>
      </c>
      <c r="B23" s="203"/>
      <c r="C23" s="203"/>
      <c r="D23" s="204"/>
      <c r="E23" s="205" t="n">
        <f aca="false">E21/H11</f>
        <v>1</v>
      </c>
      <c r="F23" s="176" t="s">
        <v>127</v>
      </c>
      <c r="G23" s="178"/>
      <c r="H23" s="176"/>
      <c r="I23" s="25"/>
      <c r="J23" s="25"/>
      <c r="K23" s="176"/>
      <c r="L23" s="176"/>
      <c r="M23" s="176"/>
      <c r="N23" s="16"/>
      <c r="O23" s="96"/>
      <c r="P23" s="96"/>
      <c r="Q23" s="16"/>
    </row>
    <row r="24" customFormat="false" ht="13.5" hidden="true" customHeight="false" outlineLevel="0" collapsed="false">
      <c r="A24" s="206" t="s">
        <v>128</v>
      </c>
      <c r="B24" s="203"/>
      <c r="C24" s="203"/>
      <c r="D24" s="158"/>
      <c r="E24" s="207" t="n">
        <f aca="false">E21/F11</f>
        <v>0.578550131169228</v>
      </c>
      <c r="F24" s="176" t="s">
        <v>129</v>
      </c>
      <c r="G24" s="178"/>
      <c r="H24" s="176"/>
      <c r="I24" s="25"/>
      <c r="J24" s="25"/>
      <c r="K24" s="176"/>
      <c r="L24" s="176"/>
      <c r="M24" s="176"/>
      <c r="N24" s="16"/>
      <c r="O24" s="96"/>
      <c r="P24" s="96"/>
      <c r="Q24" s="16"/>
    </row>
    <row r="25" customFormat="false" ht="12.75" hidden="false" customHeight="false" outlineLevel="0" collapsed="false">
      <c r="E25" s="70"/>
      <c r="F25" s="208"/>
      <c r="M25" s="209"/>
      <c r="N25" s="146"/>
      <c r="O25" s="146"/>
      <c r="P25" s="146"/>
    </row>
    <row r="26" customFormat="false" ht="12.75" hidden="false" customHeight="false" outlineLevel="0" collapsed="false">
      <c r="F26" s="208"/>
      <c r="M26" s="209"/>
      <c r="N26" s="146"/>
      <c r="O26" s="146"/>
      <c r="P26" s="146"/>
    </row>
    <row r="27" customFormat="false" ht="12.75" hidden="false" customHeight="false" outlineLevel="0" collapsed="false">
      <c r="A27" s="16"/>
      <c r="B27" s="16"/>
      <c r="C27" s="70"/>
      <c r="D27" s="16"/>
      <c r="E27" s="16"/>
      <c r="Q27" s="96"/>
    </row>
    <row r="28" customFormat="false" ht="15.75" hidden="false" customHeight="false" outlineLevel="0" collapsed="false">
      <c r="A28" s="210" t="s">
        <v>130</v>
      </c>
      <c r="B28" s="211"/>
      <c r="C28" s="212"/>
      <c r="O28" s="211" t="s">
        <v>131</v>
      </c>
      <c r="P28" s="211"/>
      <c r="Q28" s="152"/>
      <c r="R28" s="152"/>
      <c r="S28" s="152"/>
      <c r="T28" s="152"/>
      <c r="U28" s="213"/>
    </row>
    <row r="29" customFormat="false" ht="12.75" hidden="false" customHeight="false" outlineLevel="0" collapsed="false">
      <c r="A29" s="65" t="s">
        <v>132</v>
      </c>
      <c r="B29" s="214" t="n">
        <f aca="false">'Unlev. Consolid'!H90</f>
        <v>502879.103126515</v>
      </c>
      <c r="C29" s="212"/>
      <c r="O29" s="215" t="s">
        <v>133</v>
      </c>
      <c r="P29" s="87" t="s">
        <v>134</v>
      </c>
      <c r="Q29" s="216" t="str">
        <f aca="false">A6</f>
        <v>Northern Natural</v>
      </c>
      <c r="R29" s="216" t="str">
        <f aca="false">A7</f>
        <v>Transwestern</v>
      </c>
      <c r="S29" s="216" t="s">
        <v>135</v>
      </c>
      <c r="T29" s="216" t="str">
        <f aca="false">A9</f>
        <v>Citrus</v>
      </c>
      <c r="U29" s="217" t="s">
        <v>83</v>
      </c>
    </row>
    <row r="30" customFormat="false" ht="12.75" hidden="false" customHeight="false" outlineLevel="0" collapsed="false">
      <c r="A30" s="17" t="s">
        <v>136</v>
      </c>
      <c r="B30" s="218" t="n">
        <v>15</v>
      </c>
      <c r="C30" s="219"/>
      <c r="O30" s="17" t="s">
        <v>137</v>
      </c>
      <c r="P30" s="158" t="n">
        <f aca="false">SUM(Q30:U30)</f>
        <v>9924466.281</v>
      </c>
      <c r="Q30" s="220" t="n">
        <v>2743866</v>
      </c>
      <c r="R30" s="220" t="n">
        <v>987107</v>
      </c>
      <c r="S30" s="220" t="n">
        <v>2454918</v>
      </c>
      <c r="T30" s="220" t="n">
        <v>3454662</v>
      </c>
      <c r="U30" s="221" t="n">
        <v>283913.281</v>
      </c>
    </row>
    <row r="31" customFormat="false" ht="12.75" hidden="false" customHeight="false" outlineLevel="0" collapsed="false">
      <c r="A31" s="222" t="s">
        <v>138</v>
      </c>
      <c r="B31" s="223" t="n">
        <f aca="false">B29*B30</f>
        <v>7543186.54689773</v>
      </c>
      <c r="C31" s="72"/>
      <c r="O31" s="17" t="s">
        <v>139</v>
      </c>
      <c r="P31" s="158" t="n">
        <f aca="false">SUM(Q31:U31)</f>
        <v>3385092.317</v>
      </c>
      <c r="Q31" s="220" t="n">
        <v>1442835</v>
      </c>
      <c r="R31" s="220" t="n">
        <v>104364</v>
      </c>
      <c r="S31" s="220" t="n">
        <v>722842</v>
      </c>
      <c r="T31" s="220" t="n">
        <v>931965</v>
      </c>
      <c r="U31" s="221" t="n">
        <v>183086.317</v>
      </c>
    </row>
    <row r="32" customFormat="false" ht="12.75" hidden="false" customHeight="false" outlineLevel="0" collapsed="false">
      <c r="A32" s="17" t="s">
        <v>140</v>
      </c>
      <c r="B32" s="224" t="n">
        <f aca="false">'Unlev. Consolid'!H32</f>
        <v>964193.214595699</v>
      </c>
      <c r="C32" s="187"/>
      <c r="O32" s="225" t="s">
        <v>141</v>
      </c>
      <c r="P32" s="167" t="n">
        <f aca="false">SUM(Q32:U32)</f>
        <v>1456065</v>
      </c>
      <c r="Q32" s="226" t="n">
        <f aca="false">282934+2374</f>
        <v>285308</v>
      </c>
      <c r="R32" s="226" t="n">
        <f aca="false">238702+2129</f>
        <v>240831</v>
      </c>
      <c r="S32" s="226" t="n">
        <v>326000</v>
      </c>
      <c r="T32" s="226" t="n">
        <v>562326</v>
      </c>
      <c r="U32" s="227" t="n">
        <v>41600</v>
      </c>
    </row>
    <row r="33" customFormat="false" ht="12.75" hidden="false" customHeight="false" outlineLevel="0" collapsed="false">
      <c r="A33" s="17" t="s">
        <v>136</v>
      </c>
      <c r="B33" s="218" t="n">
        <f aca="false">Salvage_Multiple</f>
        <v>9</v>
      </c>
      <c r="C33" s="16"/>
      <c r="O33" s="228" t="s">
        <v>113</v>
      </c>
      <c r="P33" s="229" t="n">
        <f aca="false">P30-P31-P32</f>
        <v>5083308.964</v>
      </c>
      <c r="Q33" s="187" t="n">
        <f aca="false">Q30-Q31-Q32</f>
        <v>1015723</v>
      </c>
      <c r="R33" s="187" t="n">
        <f aca="false">R30-R31-R32</f>
        <v>641912</v>
      </c>
      <c r="S33" s="187" t="n">
        <f aca="false">S30-S31-S32</f>
        <v>1406076</v>
      </c>
      <c r="T33" s="187" t="n">
        <f aca="false">T30-T31-T32</f>
        <v>1960371</v>
      </c>
      <c r="U33" s="230" t="n">
        <f aca="false">U30-U31-U32</f>
        <v>59226.964</v>
      </c>
    </row>
    <row r="34" customFormat="false" ht="12.75" hidden="false" customHeight="false" outlineLevel="0" collapsed="false">
      <c r="A34" s="26" t="s">
        <v>138</v>
      </c>
      <c r="B34" s="231" t="n">
        <f aca="false">B32*B33</f>
        <v>8677738.93136129</v>
      </c>
      <c r="C34" s="16"/>
      <c r="O34" s="74" t="s">
        <v>142</v>
      </c>
      <c r="P34" s="139" t="n">
        <v>0.11</v>
      </c>
      <c r="Q34" s="232" t="n">
        <f aca="false">P34</f>
        <v>0.11</v>
      </c>
      <c r="R34" s="232" t="n">
        <f aca="false">Q34</f>
        <v>0.11</v>
      </c>
      <c r="S34" s="232" t="n">
        <f aca="false">R34</f>
        <v>0.11</v>
      </c>
      <c r="T34" s="232" t="n">
        <f aca="false">S34</f>
        <v>0.11</v>
      </c>
      <c r="U34" s="233" t="n">
        <f aca="false">T34</f>
        <v>0.11</v>
      </c>
    </row>
    <row r="35" customFormat="false" ht="12.75" hidden="false" customHeight="false" outlineLevel="0" collapsed="false">
      <c r="A35" s="215" t="s">
        <v>143</v>
      </c>
      <c r="B35" s="234" t="n">
        <f aca="false">CPurPrice</f>
        <v>10138316.6111767</v>
      </c>
      <c r="C35" s="17"/>
      <c r="O35" s="235" t="s">
        <v>144</v>
      </c>
      <c r="P35" s="236" t="n">
        <f aca="false">P33*P34</f>
        <v>559163.98604</v>
      </c>
      <c r="Q35" s="236" t="n">
        <f aca="false">Q33*Q34</f>
        <v>111729.53</v>
      </c>
      <c r="R35" s="236" t="n">
        <f aca="false">R33*R34</f>
        <v>70610.32</v>
      </c>
      <c r="S35" s="236" t="n">
        <f aca="false">S33*S34</f>
        <v>154668.36</v>
      </c>
      <c r="T35" s="236" t="n">
        <f aca="false">T33*T34</f>
        <v>215640.81</v>
      </c>
      <c r="U35" s="223" t="n">
        <f aca="false">U33*U34</f>
        <v>6514.96604</v>
      </c>
    </row>
    <row r="36" customFormat="false" ht="12.75" hidden="false" customHeight="false" outlineLevel="0" collapsed="false">
      <c r="C36" s="16"/>
      <c r="O36" s="237" t="s">
        <v>145</v>
      </c>
      <c r="P36" s="238" t="n">
        <f aca="false">SUM(Q36:U36)</f>
        <v>360034.584</v>
      </c>
      <c r="Q36" s="239" t="n">
        <v>136084</v>
      </c>
      <c r="R36" s="239" t="n">
        <v>69666</v>
      </c>
      <c r="S36" s="239" t="n">
        <v>76720</v>
      </c>
      <c r="T36" s="239" t="n">
        <v>64882</v>
      </c>
      <c r="U36" s="230" t="n">
        <v>12682.584</v>
      </c>
    </row>
    <row r="37" customFormat="false" ht="12.75" hidden="false" customHeight="false" outlineLevel="0" collapsed="false">
      <c r="C37" s="16"/>
      <c r="M37" s="240"/>
      <c r="O37" s="235" t="s">
        <v>146</v>
      </c>
      <c r="P37" s="194" t="n">
        <f aca="false">SUM(Q37:U37)</f>
        <v>491885.84604</v>
      </c>
      <c r="Q37" s="241" t="n">
        <f aca="false">Q36+36580*(1-Assumptions!D10)</f>
        <v>158580.7</v>
      </c>
      <c r="R37" s="241" t="n">
        <f aca="false">R36+11146*(1-Assumptions!D10)</f>
        <v>76520.79</v>
      </c>
      <c r="S37" s="241" t="n">
        <f aca="false">S36+81495*(1-Assumptions!D10)</f>
        <v>126839.425</v>
      </c>
      <c r="T37" s="241" t="n">
        <f aca="false">T36+82117*(1-Assumptions!D10)</f>
        <v>115383.955</v>
      </c>
      <c r="U37" s="242" t="n">
        <f aca="false">U36+3054.296*(1-Assumptions!D10)</f>
        <v>14560.97604</v>
      </c>
    </row>
    <row r="38" customFormat="false" ht="12.75" hidden="false" customHeight="false" outlineLevel="0" collapsed="false">
      <c r="C38" s="16"/>
      <c r="D38" s="72"/>
      <c r="E38" s="72"/>
      <c r="F38" s="240"/>
      <c r="G38" s="240"/>
      <c r="H38" s="243"/>
      <c r="I38" s="243"/>
      <c r="J38" s="243"/>
      <c r="K38" s="243"/>
      <c r="L38" s="243"/>
      <c r="M38" s="243"/>
      <c r="N38" s="243"/>
      <c r="O38" s="244"/>
      <c r="P38" s="245"/>
      <c r="Q38" s="146"/>
    </row>
    <row r="39" customFormat="false" ht="12.75" hidden="false" customHeight="false" outlineLevel="0" collapsed="false">
      <c r="C39" s="16"/>
      <c r="D39" s="243"/>
      <c r="E39" s="246"/>
      <c r="F39" s="244"/>
      <c r="G39" s="244"/>
      <c r="H39" s="247"/>
      <c r="I39" s="247"/>
      <c r="J39" s="247"/>
      <c r="K39" s="247"/>
      <c r="L39" s="247"/>
      <c r="M39" s="247"/>
      <c r="N39" s="247"/>
      <c r="O39" s="244"/>
      <c r="P39" s="245"/>
      <c r="Q39" s="146"/>
    </row>
    <row r="40" customFormat="false" ht="12.75" hidden="false" customHeight="false" outlineLevel="0" collapsed="false">
      <c r="C40" s="16"/>
      <c r="D40" s="16"/>
      <c r="E40" s="16"/>
      <c r="F40" s="240"/>
      <c r="G40" s="240"/>
      <c r="H40" s="247"/>
      <c r="I40" s="247"/>
      <c r="J40" s="247"/>
      <c r="K40" s="247"/>
      <c r="L40" s="247"/>
      <c r="M40" s="247"/>
      <c r="N40" s="247"/>
      <c r="O40" s="244"/>
      <c r="P40" s="245"/>
      <c r="Q40" s="146"/>
    </row>
    <row r="41" customFormat="false" ht="12.75" hidden="false" customHeight="false" outlineLevel="0" collapsed="false">
      <c r="A41" s="248"/>
      <c r="B41" s="146"/>
      <c r="C41" s="249"/>
      <c r="D41" s="96"/>
      <c r="E41" s="158"/>
      <c r="F41" s="158"/>
      <c r="G41" s="158"/>
      <c r="H41" s="250"/>
      <c r="I41" s="146"/>
      <c r="J41" s="146"/>
      <c r="K41" s="146"/>
      <c r="L41" s="146"/>
      <c r="M41" s="209"/>
      <c r="N41" s="209"/>
      <c r="O41" s="146"/>
      <c r="P41" s="146"/>
      <c r="Q41" s="146"/>
    </row>
    <row r="42" customFormat="false" ht="12.75" hidden="false" customHeight="false" outlineLevel="0" collapsed="false">
      <c r="Q42" s="146"/>
    </row>
    <row r="43" customFormat="false" ht="12.75" hidden="false" customHeight="false" outlineLevel="0" collapsed="false">
      <c r="Q43" s="146"/>
    </row>
    <row r="44" customFormat="false" ht="12.75" hidden="false" customHeight="false" outlineLevel="0" collapsed="false">
      <c r="Q44" s="146"/>
    </row>
    <row r="45" customFormat="false" ht="12.75" hidden="false" customHeight="false" outlineLevel="0" collapsed="false">
      <c r="Q45" s="146"/>
    </row>
    <row r="46" customFormat="false" ht="12.75" hidden="false" customHeight="false" outlineLevel="0" collapsed="false">
      <c r="Q46" s="146"/>
    </row>
    <row r="47" customFormat="false" ht="12.75" hidden="false" customHeight="false" outlineLevel="0" collapsed="false">
      <c r="Q47" s="146"/>
    </row>
    <row r="48" customFormat="false" ht="12.75" hidden="false" customHeight="false" outlineLevel="0" collapsed="false">
      <c r="Q48" s="146"/>
    </row>
    <row r="49" customFormat="false" ht="12.75" hidden="false" customHeight="false" outlineLevel="0" collapsed="false">
      <c r="Q49" s="146"/>
    </row>
    <row r="50" customFormat="false" ht="12.75" hidden="true" customHeight="false" outlineLevel="1" collapsed="false">
      <c r="A50" s="251" t="s">
        <v>147</v>
      </c>
      <c r="B50" s="252"/>
      <c r="C50" s="252"/>
      <c r="D50" s="252"/>
      <c r="E50" s="253" t="s">
        <v>148</v>
      </c>
      <c r="F50" s="254"/>
      <c r="G50" s="251" t="s">
        <v>149</v>
      </c>
      <c r="H50" s="252"/>
      <c r="I50" s="255"/>
      <c r="J50" s="255"/>
      <c r="K50" s="256"/>
      <c r="L50" s="256"/>
      <c r="M50" s="253" t="s">
        <v>148</v>
      </c>
      <c r="Q50" s="146"/>
    </row>
    <row r="51" customFormat="false" ht="12.75" hidden="true" customHeight="false" outlineLevel="1" collapsed="false">
      <c r="A51" s="125" t="s">
        <v>150</v>
      </c>
      <c r="B51" s="209"/>
      <c r="C51" s="209"/>
      <c r="D51" s="257" t="n">
        <f aca="false">1-D52</f>
        <v>0.634737388659023</v>
      </c>
      <c r="E51" s="258" t="n">
        <f aca="false">D51*M51</f>
        <v>6286618.79897571</v>
      </c>
      <c r="F51" s="158"/>
      <c r="G51" s="259" t="s">
        <v>151</v>
      </c>
      <c r="H51" s="260"/>
      <c r="I51" s="261"/>
      <c r="J51" s="261"/>
      <c r="K51" s="262"/>
      <c r="L51" s="262"/>
      <c r="M51" s="263" t="n">
        <f aca="false">SUM(D6:D9)</f>
        <v>9904283.11188211</v>
      </c>
      <c r="Q51" s="146"/>
    </row>
    <row r="52" customFormat="false" ht="12.75" hidden="true" customHeight="false" outlineLevel="1" collapsed="false">
      <c r="A52" s="125" t="s">
        <v>152</v>
      </c>
      <c r="B52" s="209"/>
      <c r="C52" s="209"/>
      <c r="D52" s="257" t="n">
        <f aca="false">Assumptions!D16</f>
        <v>0.365262611340977</v>
      </c>
      <c r="E52" s="264" t="n">
        <f aca="false">D52*M51</f>
        <v>3617664.3129064</v>
      </c>
      <c r="F52" s="158"/>
      <c r="G52" s="125" t="s">
        <v>153</v>
      </c>
      <c r="H52" s="265"/>
      <c r="I52" s="266"/>
      <c r="J52" s="266"/>
      <c r="K52" s="267"/>
      <c r="L52" s="267"/>
      <c r="M52" s="268" t="n">
        <v>0</v>
      </c>
      <c r="Q52" s="146"/>
    </row>
    <row r="53" customFormat="false" ht="12.75" hidden="true" customHeight="false" outlineLevel="1" collapsed="false">
      <c r="A53" s="269" t="s">
        <v>113</v>
      </c>
      <c r="B53" s="270"/>
      <c r="C53" s="270"/>
      <c r="D53" s="270"/>
      <c r="E53" s="264" t="n">
        <f aca="false">SUM(E51:E52)</f>
        <v>9904283.11188211</v>
      </c>
      <c r="F53" s="158"/>
      <c r="G53" s="136"/>
      <c r="H53" s="270"/>
      <c r="I53" s="270"/>
      <c r="J53" s="270"/>
      <c r="K53" s="271"/>
      <c r="L53" s="271"/>
      <c r="M53" s="264" t="n">
        <f aca="false">SUM(M51:M52)</f>
        <v>9904283.11188211</v>
      </c>
      <c r="Q53" s="146"/>
    </row>
    <row r="54" customFormat="false" ht="12.75" hidden="true" customHeight="false" outlineLevel="1" collapsed="false">
      <c r="I54" s="146"/>
      <c r="J54" s="146"/>
      <c r="Q54" s="146"/>
    </row>
    <row r="55" customFormat="false" ht="12.75" hidden="false" customHeight="false" outlineLevel="0" collapsed="false">
      <c r="A55" s="272"/>
      <c r="B55" s="126"/>
      <c r="C55" s="273"/>
      <c r="D55" s="273"/>
      <c r="E55" s="274"/>
      <c r="F55" s="274"/>
      <c r="G55" s="274"/>
      <c r="P55" s="275"/>
      <c r="Q55" s="2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6">
              <controlPr defaultSize="0" print="false" autoFill="0" autoPict="0" macro="Module7.SELL_TW">
                <anchor moveWithCells="true" sizeWithCells="false">
                  <from>
                    <xdr:col>1</xdr:col>
                    <xdr:colOff>876240</xdr:colOff>
                    <xdr:row>12</xdr:row>
                    <xdr:rowOff>142920</xdr:rowOff>
                  </from>
                  <to>
                    <xdr:col>3</xdr:col>
                    <xdr:colOff>484560</xdr:colOff>
                    <xdr:row>13</xdr:row>
                    <xdr:rowOff>181080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17">
              <controlPr defaultSize="0" print="false" autoFill="0" autoPict="0" macro="Module7.Sell_Citrus">
                <anchor moveWithCells="true" sizeWithCells="false">
                  <from>
                    <xdr:col>3</xdr:col>
                    <xdr:colOff>876240</xdr:colOff>
                    <xdr:row>12</xdr:row>
                    <xdr:rowOff>142920</xdr:rowOff>
                  </from>
                  <to>
                    <xdr:col>4</xdr:col>
                    <xdr:colOff>313560</xdr:colOff>
                    <xdr:row>13</xdr:row>
                    <xdr:rowOff>171000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19">
              <controlPr defaultSize="0" print="false" autoFill="0" autoPict="0" macro="Module7.No_Sale">
                <anchor moveWithCells="true" sizeWithCells="false">
                  <from>
                    <xdr:col>4</xdr:col>
                    <xdr:colOff>754560</xdr:colOff>
                    <xdr:row>12</xdr:row>
                    <xdr:rowOff>152280</xdr:rowOff>
                  </from>
                  <to>
                    <xdr:col>5</xdr:col>
                    <xdr:colOff>293040</xdr:colOff>
                    <xdr:row>13</xdr:row>
                    <xdr:rowOff>181080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false" showRowColHeaders="true" showZeros="true" rightToLeft="false" tabSelected="false" showOutlineSymbols="true" defaultGridColor="true" view="normal" topLeftCell="I83" colorId="64" zoomScale="75" zoomScaleNormal="75" zoomScalePageLayoutView="50" workbookViewId="0">
      <selection pane="topLeft" activeCell="K118" activeCellId="0" sqref="K118"/>
    </sheetView>
  </sheetViews>
  <sheetFormatPr defaultColWidth="9.0546875" defaultRowHeight="12.75" customHeight="true" zeroHeight="false" outlineLevelRow="2" outlineLevelCol="1"/>
  <cols>
    <col collapsed="false" customWidth="true" hidden="false" outlineLevel="0" max="1" min="1" style="0" width="36.56"/>
    <col collapsed="false" customWidth="true" hidden="false" outlineLevel="0" max="2" min="2" style="0" width="15.13"/>
    <col collapsed="false" customWidth="true" hidden="false" outlineLevel="0" max="3" min="3" style="0" width="13.7"/>
    <col collapsed="false" customWidth="true" hidden="true" outlineLevel="1" max="5" min="4" style="0" width="10.99"/>
    <col collapsed="false" customWidth="true" hidden="true" outlineLevel="1" max="6" min="6" style="0" width="14.14"/>
    <col collapsed="false" customWidth="true" hidden="true" outlineLevel="1" max="7" min="7" style="16" width="14.14"/>
    <col collapsed="false" customWidth="true" hidden="false" outlineLevel="0" max="8" min="8" style="0" width="12.56"/>
    <col collapsed="false" customWidth="true" hidden="false" outlineLevel="0" max="10" min="9" style="0" width="12.28"/>
    <col collapsed="false" customWidth="true" hidden="false" outlineLevel="0" max="11" min="11" style="0" width="14.28"/>
    <col collapsed="false" customWidth="true" hidden="false" outlineLevel="0" max="12" min="12" style="0" width="16.56"/>
    <col collapsed="false" customWidth="true" hidden="false" outlineLevel="0" max="13" min="13" style="0" width="16.42"/>
    <col collapsed="false" customWidth="true" hidden="false" outlineLevel="0" max="14" min="14" style="0" width="16.56"/>
    <col collapsed="false" customWidth="true" hidden="false" outlineLevel="0" max="15" min="15" style="0" width="17.7"/>
    <col collapsed="false" customWidth="true" hidden="false" outlineLevel="0" max="16" min="16" style="0" width="16.56"/>
    <col collapsed="false" customWidth="true" hidden="false" outlineLevel="0" max="17" min="17" style="0" width="12.28"/>
    <col collapsed="false" customWidth="true" hidden="false" outlineLevel="0" max="18" min="18" style="0" width="17.42"/>
    <col collapsed="false" customWidth="true" hidden="false" outlineLevel="0" max="19" min="19" style="0" width="13.56"/>
    <col collapsed="false" customWidth="true" hidden="false" outlineLevel="0" max="20" min="20" style="0" width="11.28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</row>
    <row r="2" customFormat="false" ht="16.5" hidden="false" customHeight="false" outlineLevel="0" collapsed="false">
      <c r="A2" s="276" t="s">
        <v>154</v>
      </c>
      <c r="B2" s="276"/>
      <c r="C2" s="276"/>
      <c r="F2" s="25" t="s">
        <v>50</v>
      </c>
      <c r="G2" s="191"/>
      <c r="H2" s="16"/>
      <c r="I2" s="16"/>
      <c r="J2" s="16"/>
      <c r="K2" s="16"/>
    </row>
    <row r="3" customFormat="false" ht="12.75" hidden="false" customHeight="false" outlineLevel="0" collapsed="false">
      <c r="A3" s="277"/>
      <c r="B3" s="278"/>
      <c r="C3" s="278"/>
      <c r="F3" s="279" t="str">
        <f aca="false">IF(K119="","","Warning: Check the Consolidated Purchase Price and the separate Asset Purchase Price")</f>
        <v/>
      </c>
      <c r="H3" s="16"/>
      <c r="I3" s="16"/>
      <c r="J3" s="16"/>
      <c r="K3" s="16"/>
    </row>
    <row r="4" customFormat="false" ht="12.75" hidden="false" customHeight="false" outlineLevel="0" collapsed="false">
      <c r="A4" s="280"/>
      <c r="F4" s="281" t="str">
        <f aca="false">IF(CLoop&lt;&gt;0,"Run Macro","")</f>
        <v/>
      </c>
      <c r="G4" s="282"/>
      <c r="H4" s="283"/>
      <c r="I4" s="72"/>
      <c r="J4" s="16"/>
      <c r="K4" s="16"/>
    </row>
    <row r="5" customFormat="false" ht="12.75" hidden="false" customHeight="false" outlineLevel="0" collapsed="false">
      <c r="A5" s="280"/>
      <c r="F5" s="283"/>
      <c r="G5" s="282"/>
      <c r="H5" s="283"/>
      <c r="I5" s="72"/>
      <c r="J5" s="16"/>
      <c r="K5" s="16"/>
    </row>
    <row r="6" customFormat="false" ht="15.75" hidden="false" customHeight="false" outlineLevel="0" collapsed="false">
      <c r="A6" s="284" t="s">
        <v>155</v>
      </c>
      <c r="B6" s="285"/>
      <c r="C6" s="85"/>
      <c r="D6" s="286"/>
      <c r="E6" s="286"/>
      <c r="F6" s="85"/>
      <c r="G6" s="287"/>
      <c r="H6" s="287"/>
      <c r="I6" s="287"/>
      <c r="J6" s="85"/>
      <c r="K6" s="85"/>
      <c r="L6" s="85"/>
      <c r="M6" s="85"/>
      <c r="N6" s="85"/>
      <c r="O6" s="85"/>
      <c r="P6" s="85"/>
      <c r="Q6" s="85"/>
      <c r="R6" s="85"/>
    </row>
    <row r="7" customFormat="false" ht="15.75" hidden="false" customHeight="false" outlineLevel="0" collapsed="false">
      <c r="A7" s="288"/>
      <c r="B7" s="289"/>
      <c r="C7" s="290"/>
      <c r="D7" s="291"/>
      <c r="E7" s="292"/>
      <c r="F7" s="292"/>
      <c r="G7" s="293"/>
      <c r="H7" s="294" t="s">
        <v>156</v>
      </c>
      <c r="I7" s="295"/>
      <c r="J7" s="293"/>
      <c r="K7" s="293"/>
      <c r="L7" s="296"/>
      <c r="M7" s="293"/>
      <c r="N7" s="296"/>
      <c r="O7" s="296"/>
      <c r="P7" s="296"/>
      <c r="Q7" s="296"/>
      <c r="R7" s="75"/>
    </row>
    <row r="8" customFormat="false" ht="15.75" hidden="false" customHeight="false" outlineLevel="0" collapsed="false">
      <c r="A8" s="288"/>
      <c r="B8" s="289"/>
      <c r="C8" s="290"/>
      <c r="D8" s="291"/>
      <c r="E8" s="297" t="n">
        <v>1998</v>
      </c>
      <c r="F8" s="297" t="n">
        <v>1999</v>
      </c>
      <c r="G8" s="297" t="n">
        <v>2000</v>
      </c>
      <c r="H8" s="297" t="n">
        <v>2001</v>
      </c>
      <c r="I8" s="298" t="n">
        <v>2002</v>
      </c>
      <c r="J8" s="298" t="n">
        <v>2003</v>
      </c>
      <c r="K8" s="298" t="n">
        <v>2004</v>
      </c>
      <c r="L8" s="298" t="n">
        <v>2005</v>
      </c>
      <c r="M8" s="298" t="n">
        <v>2006</v>
      </c>
      <c r="N8" s="299" t="n">
        <v>2007</v>
      </c>
      <c r="O8" s="299" t="n">
        <v>2008</v>
      </c>
      <c r="P8" s="299" t="n">
        <v>2009</v>
      </c>
      <c r="Q8" s="299" t="n">
        <v>2010</v>
      </c>
      <c r="R8" s="300" t="n">
        <v>2011</v>
      </c>
    </row>
    <row r="9" customFormat="false" ht="15.75" hidden="false" customHeight="false" outlineLevel="0" collapsed="false">
      <c r="A9" s="288"/>
      <c r="B9" s="289"/>
      <c r="C9" s="290"/>
      <c r="D9" s="291"/>
      <c r="E9" s="204"/>
      <c r="F9" s="204"/>
      <c r="G9" s="301" t="s">
        <v>157</v>
      </c>
      <c r="H9" s="297" t="n">
        <v>1</v>
      </c>
      <c r="I9" s="298" t="n">
        <v>2</v>
      </c>
      <c r="J9" s="298" t="n">
        <v>3</v>
      </c>
      <c r="K9" s="298" t="n">
        <v>4</v>
      </c>
      <c r="L9" s="298" t="n">
        <v>5</v>
      </c>
      <c r="M9" s="298" t="n">
        <v>6</v>
      </c>
      <c r="N9" s="298" t="n">
        <v>7</v>
      </c>
      <c r="O9" s="298" t="n">
        <v>8</v>
      </c>
      <c r="P9" s="298" t="n">
        <v>9</v>
      </c>
      <c r="Q9" s="298" t="n">
        <v>10</v>
      </c>
      <c r="R9" s="302" t="n">
        <v>11</v>
      </c>
    </row>
    <row r="10" customFormat="false" ht="12.75" hidden="false" customHeight="false" outlineLevel="0" collapsed="false">
      <c r="A10" s="303" t="s">
        <v>158</v>
      </c>
      <c r="B10" s="304" t="s">
        <v>159</v>
      </c>
      <c r="E10" s="305"/>
      <c r="F10" s="306"/>
      <c r="G10" s="307"/>
      <c r="H10" s="204"/>
    </row>
    <row r="11" customFormat="false" ht="12.75" hidden="false" customHeight="false" outlineLevel="0" collapsed="false">
      <c r="A11" s="308" t="str">
        <f aca="false">Assumptions!B22</f>
        <v>Northern Natural</v>
      </c>
      <c r="B11" s="309" t="n">
        <f aca="false">Assumptions!C22</f>
        <v>1</v>
      </c>
      <c r="C11" s="77"/>
      <c r="E11" s="310" t="n">
        <f aca="false">'Northern Natural DCF'!E11*$B$11</f>
        <v>489917</v>
      </c>
      <c r="F11" s="310" t="n">
        <f aca="false">'Northern Natural DCF'!F11*$B$11</f>
        <v>491300</v>
      </c>
      <c r="G11" s="310" t="n">
        <f aca="false">'Northern Natural DCF'!G11*$B$11</f>
        <v>505521</v>
      </c>
      <c r="H11" s="187" t="n">
        <f aca="false">'Northern Natural DCF'!H11*$B$11</f>
        <v>495151</v>
      </c>
      <c r="I11" s="187" t="n">
        <f aca="false">'Northern Natural DCF'!I11*$B$11</f>
        <v>489091</v>
      </c>
      <c r="J11" s="187" t="n">
        <f aca="false">'Northern Natural DCF'!J11*$B$11</f>
        <v>497938.16</v>
      </c>
      <c r="K11" s="187" t="n">
        <f aca="false">'Northern Natural DCF'!K11*$B$11</f>
        <v>506962.2632</v>
      </c>
      <c r="L11" s="187" t="n">
        <f aca="false">'Northern Natural DCF'!L11*$B$11</f>
        <v>516166.848464</v>
      </c>
      <c r="M11" s="187" t="n">
        <f aca="false">'Northern Natural DCF'!M11*$B$11</f>
        <v>526228.02543328</v>
      </c>
      <c r="N11" s="187" t="n">
        <f aca="false">'Northern Natural DCF'!N11*$B$11</f>
        <v>536510.600941946</v>
      </c>
      <c r="O11" s="187" t="n">
        <f aca="false">'Northern Natural DCF'!O11*$B$11</f>
        <v>547020.011710785</v>
      </c>
      <c r="P11" s="187" t="n">
        <f aca="false">'Northern Natural DCF'!P11*$B$11</f>
        <v>557761.8536325</v>
      </c>
      <c r="Q11" s="187" t="n">
        <f aca="false">'Northern Natural DCF'!Q11*$B$11</f>
        <v>568741.887477025</v>
      </c>
      <c r="R11" s="187" t="n">
        <f aca="false">'Northern Natural DCF'!R11*$B$11</f>
        <v>579966.044837035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customFormat="false" ht="12.75" hidden="false" customHeight="false" outlineLevel="0" collapsed="false">
      <c r="A12" s="308" t="str">
        <f aca="false">Assumptions!B24</f>
        <v>Transwestern</v>
      </c>
      <c r="B12" s="309" t="n">
        <f aca="false">Assumptions!C24</f>
        <v>1</v>
      </c>
      <c r="C12" s="77"/>
      <c r="E12" s="310" t="n">
        <f aca="false">'Transwestern DCF'!E11*$B$12</f>
        <v>167593</v>
      </c>
      <c r="F12" s="310" t="n">
        <f aca="false">'Transwestern DCF'!F11*$B$12</f>
        <v>155749</v>
      </c>
      <c r="G12" s="310" t="n">
        <f aca="false">'Transwestern DCF'!G11*$B$12</f>
        <v>176813</v>
      </c>
      <c r="H12" s="187" t="n">
        <f aca="false">'Transwestern DCF'!H11*$B$12</f>
        <v>202544</v>
      </c>
      <c r="I12" s="187" t="n">
        <f aca="false">'Transwestern DCF'!I11*$B$12</f>
        <v>200919</v>
      </c>
      <c r="J12" s="187" t="n">
        <f aca="false">'Transwestern DCF'!J11*$B$12</f>
        <v>219175.98</v>
      </c>
      <c r="K12" s="187" t="n">
        <f aca="false">'Transwestern DCF'!K11*$B$12</f>
        <v>229807.4162</v>
      </c>
      <c r="L12" s="187" t="n">
        <f aca="false">'Transwestern DCF'!L11*$B$12</f>
        <v>240957.899698</v>
      </c>
      <c r="M12" s="187" t="n">
        <f aca="false">'Transwestern DCF'!M11*$B$12</f>
        <v>252667.13187842</v>
      </c>
      <c r="N12" s="187" t="n">
        <f aca="false">'Transwestern DCF'!N11*$B$12</f>
        <v>254443.140961716</v>
      </c>
      <c r="O12" s="187" t="n">
        <f aca="false">'Transwestern DCF'!O11*$B$12</f>
        <v>256307.950499177</v>
      </c>
      <c r="P12" s="187" t="n">
        <f aca="false">'Transwestern DCF'!P11*$B$12</f>
        <v>258266.000513511</v>
      </c>
      <c r="Q12" s="187" t="n">
        <f aca="false">'Transwestern DCF'!Q11*$B$12</f>
        <v>258283.321477573</v>
      </c>
      <c r="R12" s="187" t="n">
        <f aca="false">'Transwestern DCF'!R11*$B$12</f>
        <v>258301.508489839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customFormat="false" ht="12.75" hidden="false" customHeight="false" outlineLevel="0" collapsed="false">
      <c r="A13" s="308" t="str">
        <f aca="false">Assumptions!B26</f>
        <v>Northern Border Partners</v>
      </c>
      <c r="B13" s="309" t="n">
        <f aca="false">Assumptions!C26</f>
        <v>1</v>
      </c>
      <c r="C13" s="77"/>
      <c r="E13" s="310" t="n">
        <f aca="false">'NBP DCF'!C10*$B$13</f>
        <v>0</v>
      </c>
      <c r="F13" s="310" t="n">
        <f aca="false">'NBP DCF'!D10*$B$13</f>
        <v>0</v>
      </c>
      <c r="G13" s="310" t="n">
        <f aca="false">'NBP DCF'!E10*$B$13</f>
        <v>339732</v>
      </c>
      <c r="H13" s="187" t="n">
        <f aca="false">'NBP DCF'!F10*$B$13</f>
        <v>491411</v>
      </c>
      <c r="I13" s="187" t="n">
        <f aca="false">'NBP DCF'!G10*$B$13</f>
        <v>576963</v>
      </c>
      <c r="J13" s="187" t="n">
        <f aca="false">'NBP DCF'!H10*$B$13</f>
        <v>590878</v>
      </c>
      <c r="K13" s="187" t="n">
        <f aca="false">'NBP DCF'!I10*$B$13</f>
        <v>606875</v>
      </c>
      <c r="L13" s="187" t="n">
        <f aca="false">'NBP DCF'!J10*$B$13</f>
        <v>611153</v>
      </c>
      <c r="M13" s="187" t="n">
        <f aca="false">'NBP DCF'!K10*$B$13</f>
        <v>611153</v>
      </c>
      <c r="N13" s="187" t="n">
        <f aca="false">'NBP DCF'!L10*$B$13</f>
        <v>611153</v>
      </c>
      <c r="O13" s="187" t="n">
        <f aca="false">'NBP DCF'!M10*$B$13</f>
        <v>611153</v>
      </c>
      <c r="P13" s="187" t="n">
        <f aca="false">'NBP DCF'!N10*$B$13</f>
        <v>611153</v>
      </c>
      <c r="Q13" s="187" t="n">
        <f aca="false">'NBP DCF'!O10*$B$13</f>
        <v>611153</v>
      </c>
      <c r="R13" s="187" t="n">
        <f aca="false">'NBP DCF'!P10*$B$13</f>
        <v>611153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customFormat="false" ht="12.75" hidden="false" customHeight="false" outlineLevel="0" collapsed="false">
      <c r="A14" s="308" t="str">
        <f aca="false">Assumptions!B28</f>
        <v>Citrus</v>
      </c>
      <c r="B14" s="309" t="n">
        <f aca="false">Assumptions!C28</f>
        <v>1</v>
      </c>
      <c r="C14" s="77"/>
      <c r="E14" s="310" t="n">
        <f aca="false">'Citrus DCF'!D11*$B$14</f>
        <v>591005</v>
      </c>
      <c r="F14" s="310" t="n">
        <f aca="false">'Citrus DCF'!E11*$B$14</f>
        <v>639391</v>
      </c>
      <c r="G14" s="310" t="n">
        <f aca="false">'Citrus DCF'!F11*$B$14</f>
        <v>476073</v>
      </c>
      <c r="H14" s="187" t="n">
        <f aca="false">'Citrus DCF'!G11*$B$14</f>
        <v>346941</v>
      </c>
      <c r="I14" s="187" t="n">
        <f aca="false">'Citrus DCF'!H11*$B$14</f>
        <v>402886</v>
      </c>
      <c r="J14" s="187" t="n">
        <f aca="false">'Citrus DCF'!I11*$B$14</f>
        <v>429460</v>
      </c>
      <c r="K14" s="187" t="n">
        <f aca="false">'Citrus DCF'!J11*$B$14</f>
        <v>433496</v>
      </c>
      <c r="L14" s="187" t="n">
        <f aca="false">'Citrus DCF'!K11*$B$14</f>
        <v>431092</v>
      </c>
      <c r="M14" s="187" t="n">
        <f aca="false">'Citrus DCF'!L11*$B$14</f>
        <v>431092</v>
      </c>
      <c r="N14" s="187" t="n">
        <f aca="false">'Citrus DCF'!M11*$B$14</f>
        <v>431092</v>
      </c>
      <c r="O14" s="187" t="n">
        <f aca="false">'Citrus DCF'!N11*$B$14</f>
        <v>431092</v>
      </c>
      <c r="P14" s="187" t="n">
        <f aca="false">'Citrus DCF'!O11*$B$14</f>
        <v>431092</v>
      </c>
      <c r="Q14" s="187" t="n">
        <f aca="false">'Citrus DCF'!P11*$B$14</f>
        <v>431092</v>
      </c>
      <c r="R14" s="187" t="n">
        <f aca="false">'Citrus DCF'!Q11*$B$14</f>
        <v>431092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customFormat="false" ht="12.75" hidden="false" customHeight="false" outlineLevel="0" collapsed="false">
      <c r="A15" s="308" t="str">
        <f aca="false">Assumptions!B30</f>
        <v>Trailblazer</v>
      </c>
      <c r="B15" s="309" t="n">
        <f aca="false">Assumptions!C30</f>
        <v>1</v>
      </c>
      <c r="C15" s="77"/>
      <c r="E15" s="310" t="n">
        <f aca="false">'Trailblazer DCF'!E11</f>
        <v>42737.522</v>
      </c>
      <c r="F15" s="310" t="n">
        <f aca="false">'Trailblazer DCF'!F11</f>
        <v>33711.148</v>
      </c>
      <c r="G15" s="310" t="n">
        <f aca="false">'Trailblazer DCF'!G11</f>
        <v>29084.758</v>
      </c>
      <c r="H15" s="187" t="n">
        <f aca="false">'Trailblazer DCF'!H11</f>
        <v>27803.5145956992</v>
      </c>
      <c r="I15" s="187" t="n">
        <f aca="false">'Trailblazer DCF'!I11</f>
        <v>27803.5145956992</v>
      </c>
      <c r="J15" s="187" t="n">
        <f aca="false">'Trailblazer DCF'!J11</f>
        <v>27803.5145956992</v>
      </c>
      <c r="K15" s="187" t="n">
        <f aca="false">'Trailblazer DCF'!K11</f>
        <v>27803.5145956992</v>
      </c>
      <c r="L15" s="187" t="n">
        <f aca="false">'Trailblazer DCF'!L11</f>
        <v>27803.5145956992</v>
      </c>
      <c r="M15" s="187" t="n">
        <f aca="false">'Trailblazer DCF'!M11</f>
        <v>27803.5145956992</v>
      </c>
      <c r="N15" s="187" t="n">
        <f aca="false">'Trailblazer DCF'!N11</f>
        <v>27803.5145956992</v>
      </c>
      <c r="O15" s="187" t="n">
        <f aca="false">'Trailblazer DCF'!O11</f>
        <v>27803.5145956992</v>
      </c>
      <c r="P15" s="187" t="n">
        <f aca="false">'Trailblazer DCF'!P11</f>
        <v>27803.5145956992</v>
      </c>
      <c r="Q15" s="187" t="n">
        <f aca="false">'Trailblazer DCF'!Q11</f>
        <v>27803.5145956992</v>
      </c>
      <c r="R15" s="187" t="n">
        <f aca="false">'Trailblazer DCF'!R11</f>
        <v>27803.5145956992</v>
      </c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customFormat="false" ht="12.75" hidden="false" customHeight="false" outlineLevel="0" collapsed="false">
      <c r="A16" s="311" t="s">
        <v>160</v>
      </c>
      <c r="B16" s="197"/>
      <c r="C16" s="197"/>
      <c r="D16" s="197"/>
      <c r="E16" s="312" t="n">
        <f aca="false">SUM(E11:E15)</f>
        <v>1291252.522</v>
      </c>
      <c r="F16" s="312" t="n">
        <f aca="false">SUM(F11:F15)</f>
        <v>1320151.148</v>
      </c>
      <c r="G16" s="312" t="n">
        <f aca="false">SUM(G11:G15)</f>
        <v>1527223.758</v>
      </c>
      <c r="H16" s="199" t="n">
        <f aca="false">SUM(H11:H15)</f>
        <v>1563850.5145957</v>
      </c>
      <c r="I16" s="199" t="n">
        <f aca="false">SUM(I11:I15)</f>
        <v>1697662.5145957</v>
      </c>
      <c r="J16" s="199" t="n">
        <f aca="false">SUM(J11:J15)</f>
        <v>1765255.6545957</v>
      </c>
      <c r="K16" s="199" t="n">
        <f aca="false">SUM(K11:K15)</f>
        <v>1804944.1939957</v>
      </c>
      <c r="L16" s="199" t="n">
        <f aca="false">SUM(L11:L15)</f>
        <v>1827173.2627577</v>
      </c>
      <c r="M16" s="199" t="n">
        <f aca="false">SUM(M11:M15)</f>
        <v>1848943.6719074</v>
      </c>
      <c r="N16" s="199" t="n">
        <f aca="false">SUM(N11:N15)</f>
        <v>1861002.25649936</v>
      </c>
      <c r="O16" s="199" t="n">
        <f aca="false">SUM(O11:O15)</f>
        <v>1873376.47680566</v>
      </c>
      <c r="P16" s="199" t="n">
        <f aca="false">SUM(P11:P15)</f>
        <v>1886076.36874171</v>
      </c>
      <c r="Q16" s="199" t="n">
        <f aca="false">SUM(Q11:Q15)</f>
        <v>1897073.7235503</v>
      </c>
      <c r="R16" s="199" t="n">
        <f aca="false">SUM(R11:R15)</f>
        <v>1908316.06792257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customFormat="false" ht="12.75" hidden="false" customHeight="false" outlineLevel="0" collapsed="false">
      <c r="A17" s="16"/>
      <c r="E17" s="307"/>
      <c r="F17" s="313"/>
      <c r="G17" s="314"/>
      <c r="H17" s="315"/>
      <c r="I17" s="315"/>
      <c r="J17" s="184"/>
      <c r="K17" s="184"/>
      <c r="L17" s="184"/>
      <c r="M17" s="184"/>
      <c r="N17" s="184"/>
      <c r="O17" s="184"/>
      <c r="P17" s="184"/>
      <c r="Q17" s="184"/>
      <c r="R17" s="184"/>
    </row>
    <row r="18" customFormat="false" ht="12.75" hidden="false" customHeight="false" outlineLevel="0" collapsed="false">
      <c r="A18" s="316" t="s">
        <v>161</v>
      </c>
      <c r="B18" s="304" t="s">
        <v>159</v>
      </c>
      <c r="E18" s="307"/>
      <c r="F18" s="317"/>
      <c r="G18" s="317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customFormat="false" ht="12.75" hidden="false" customHeight="false" outlineLevel="0" collapsed="false">
      <c r="A19" s="318" t="str">
        <f aca="false">A11</f>
        <v>Northern Natural</v>
      </c>
      <c r="B19" s="309" t="n">
        <f aca="false">B11</f>
        <v>1</v>
      </c>
      <c r="E19" s="317" t="n">
        <f aca="false">'Northern Natural DCF'!E13*'Unlev. Consolid'!$B$19</f>
        <v>207470</v>
      </c>
      <c r="F19" s="317" t="n">
        <f aca="false">'Northern Natural DCF'!F13*'Unlev. Consolid'!$B$19</f>
        <v>239590</v>
      </c>
      <c r="G19" s="317" t="n">
        <f aca="false">'Northern Natural DCF'!G13*'Unlev. Consolid'!$B$19</f>
        <v>240367</v>
      </c>
      <c r="H19" s="192" t="n">
        <f aca="false">'Northern Natural DCF'!H13*'Unlev. Consolid'!$B$19</f>
        <v>257891</v>
      </c>
      <c r="I19" s="192" t="n">
        <f aca="false">'Northern Natural DCF'!I13*'Unlev. Consolid'!$B$19</f>
        <v>258496</v>
      </c>
      <c r="J19" s="192" t="n">
        <f aca="false">'Northern Natural DCF'!J13*'Unlev. Consolid'!$B$19</f>
        <v>255395.365314685</v>
      </c>
      <c r="K19" s="192" t="n">
        <f aca="false">'Northern Natural DCF'!K13*'Unlev. Consolid'!$B$19</f>
        <v>252242.565314685</v>
      </c>
      <c r="L19" s="192" t="n">
        <f aca="false">'Northern Natural DCF'!L13*'Unlev. Consolid'!$B$19</f>
        <v>252242.565314685</v>
      </c>
      <c r="M19" s="192" t="n">
        <f aca="false">'Northern Natural DCF'!M13*'Unlev. Consolid'!$B$19</f>
        <v>252242.565314685</v>
      </c>
      <c r="N19" s="192" t="n">
        <f aca="false">'Northern Natural DCF'!N13*'Unlev. Consolid'!$B$19</f>
        <v>252242.565314685</v>
      </c>
      <c r="O19" s="192" t="n">
        <f aca="false">'Northern Natural DCF'!O13*'Unlev. Consolid'!$B$19</f>
        <v>252242.565314685</v>
      </c>
      <c r="P19" s="192" t="n">
        <f aca="false">'Northern Natural DCF'!P13*'Unlev. Consolid'!$B$19</f>
        <v>252242.565314685</v>
      </c>
      <c r="Q19" s="192" t="n">
        <f aca="false">'Northern Natural DCF'!Q13*'Unlev. Consolid'!$B$19</f>
        <v>252242.565314685</v>
      </c>
      <c r="R19" s="192" t="n">
        <f aca="false">'Northern Natural DCF'!R13*'Unlev. Consolid'!$B$19</f>
        <v>252242.565314685</v>
      </c>
    </row>
    <row r="20" customFormat="false" ht="12.75" hidden="false" customHeight="false" outlineLevel="0" collapsed="false">
      <c r="A20" s="318" t="str">
        <f aca="false">A12</f>
        <v>Transwestern</v>
      </c>
      <c r="B20" s="309" t="n">
        <f aca="false">B12</f>
        <v>1</v>
      </c>
      <c r="E20" s="317" t="n">
        <f aca="false">'Transwestern DCF'!E13*$B$20</f>
        <v>44641</v>
      </c>
      <c r="F20" s="317" t="n">
        <f aca="false">'Transwestern DCF'!F13*$B$20</f>
        <v>49160</v>
      </c>
      <c r="G20" s="317" t="n">
        <f aca="false">'Transwestern DCF'!G13*$B$20</f>
        <v>50764</v>
      </c>
      <c r="H20" s="192" t="n">
        <f aca="false">'Transwestern DCF'!H13*$B$20</f>
        <v>54402</v>
      </c>
      <c r="I20" s="192" t="n">
        <f aca="false">'Transwestern DCF'!I13*$B$20</f>
        <v>63866</v>
      </c>
      <c r="J20" s="192" t="n">
        <f aca="false">'Transwestern DCF'!J13*$B$20</f>
        <v>63866</v>
      </c>
      <c r="K20" s="192" t="n">
        <f aca="false">'Transwestern DCF'!K13*$B$20</f>
        <v>63866</v>
      </c>
      <c r="L20" s="192" t="n">
        <f aca="false">'Transwestern DCF'!L13*$B$20</f>
        <v>63866</v>
      </c>
      <c r="M20" s="192" t="n">
        <f aca="false">'Transwestern DCF'!M13*$B$20</f>
        <v>63866</v>
      </c>
      <c r="N20" s="192" t="n">
        <f aca="false">'Transwestern DCF'!N13*$B$20</f>
        <v>63866</v>
      </c>
      <c r="O20" s="192" t="n">
        <f aca="false">'Transwestern DCF'!O13*$B$20</f>
        <v>63866</v>
      </c>
      <c r="P20" s="192" t="n">
        <f aca="false">'Transwestern DCF'!P13*$B$20</f>
        <v>63866</v>
      </c>
      <c r="Q20" s="192" t="n">
        <f aca="false">'Transwestern DCF'!Q13*$B$20</f>
        <v>63866</v>
      </c>
      <c r="R20" s="192" t="n">
        <f aca="false">'Transwestern DCF'!R13*$B$20</f>
        <v>63866</v>
      </c>
    </row>
    <row r="21" customFormat="false" ht="12.75" hidden="false" customHeight="false" outlineLevel="0" collapsed="false">
      <c r="A21" s="318" t="str">
        <f aca="false">A13</f>
        <v>Northern Border Partners</v>
      </c>
      <c r="B21" s="319" t="n">
        <f aca="false">B13</f>
        <v>1</v>
      </c>
      <c r="C21" s="16"/>
      <c r="D21" s="16"/>
      <c r="E21" s="317" t="n">
        <f aca="false">'NBP DCF'!C13*$B$21</f>
        <v>0</v>
      </c>
      <c r="F21" s="317" t="n">
        <f aca="false">'NBP DCF'!D13*$B$21</f>
        <v>0</v>
      </c>
      <c r="G21" s="317" t="n">
        <f aca="false">'NBP DCF'!E13*$B$21</f>
        <v>90731</v>
      </c>
      <c r="H21" s="192" t="n">
        <f aca="false">'NBP DCF'!F13*$B$21</f>
        <v>182081</v>
      </c>
      <c r="I21" s="192" t="n">
        <f aca="false">'NBP DCF'!G13*$B$21</f>
        <v>234850</v>
      </c>
      <c r="J21" s="192" t="n">
        <f aca="false">'NBP DCF'!H13*$B$21</f>
        <v>243830</v>
      </c>
      <c r="K21" s="192" t="n">
        <f aca="false">'NBP DCF'!I13*$B$21</f>
        <v>246767</v>
      </c>
      <c r="L21" s="192" t="n">
        <f aca="false">'NBP DCF'!J13*$B$21</f>
        <v>245757</v>
      </c>
      <c r="M21" s="192" t="n">
        <f aca="false">'NBP DCF'!K13*$B$21</f>
        <v>245757</v>
      </c>
      <c r="N21" s="192" t="n">
        <f aca="false">'NBP DCF'!L13*$B$21</f>
        <v>245757</v>
      </c>
      <c r="O21" s="192" t="n">
        <f aca="false">'NBP DCF'!M13*$B$21</f>
        <v>245757</v>
      </c>
      <c r="P21" s="192" t="n">
        <f aca="false">'NBP DCF'!N13*$B$21</f>
        <v>245757</v>
      </c>
      <c r="Q21" s="192" t="n">
        <f aca="false">'NBP DCF'!O13*$B$21</f>
        <v>245757</v>
      </c>
      <c r="R21" s="192" t="n">
        <f aca="false">'NBP DCF'!P13*$B$21</f>
        <v>245757</v>
      </c>
      <c r="S21" s="16"/>
      <c r="T21" s="16"/>
    </row>
    <row r="22" customFormat="false" ht="12.75" hidden="false" customHeight="false" outlineLevel="0" collapsed="false">
      <c r="A22" s="318" t="str">
        <f aca="false">A14</f>
        <v>Citrus</v>
      </c>
      <c r="B22" s="319" t="n">
        <f aca="false">B14</f>
        <v>1</v>
      </c>
      <c r="C22" s="16"/>
      <c r="D22" s="16"/>
      <c r="E22" s="317" t="n">
        <f aca="false">'Citrus DCF'!D13*'Unlev. Consolid'!$B$22</f>
        <v>371819</v>
      </c>
      <c r="F22" s="317" t="n">
        <f aca="false">'Citrus DCF'!E13*'Unlev. Consolid'!$B$22</f>
        <v>431944</v>
      </c>
      <c r="G22" s="317" t="n">
        <f aca="false">'Citrus DCF'!F13*'Unlev. Consolid'!$B$22</f>
        <v>261030</v>
      </c>
      <c r="H22" s="192" t="n">
        <f aca="false">'Citrus DCF'!G13*'Unlev. Consolid'!$B$22</f>
        <v>100664</v>
      </c>
      <c r="I22" s="192" t="n">
        <f aca="false">'Citrus DCF'!H13*'Unlev. Consolid'!$B$22</f>
        <v>108845</v>
      </c>
      <c r="J22" s="192" t="n">
        <f aca="false">'Citrus DCF'!I13*'Unlev. Consolid'!$B$22</f>
        <v>104444</v>
      </c>
      <c r="K22" s="192" t="n">
        <f aca="false">'Citrus DCF'!J13*'Unlev. Consolid'!$B$22</f>
        <v>109651</v>
      </c>
      <c r="L22" s="192" t="n">
        <f aca="false">'Citrus DCF'!K13*'Unlev. Consolid'!$B$22</f>
        <v>111033</v>
      </c>
      <c r="M22" s="192" t="n">
        <f aca="false">'Citrus DCF'!L13*'Unlev. Consolid'!$B$22</f>
        <v>111033</v>
      </c>
      <c r="N22" s="192" t="n">
        <f aca="false">'Citrus DCF'!M13*'Unlev. Consolid'!$B$22</f>
        <v>111033</v>
      </c>
      <c r="O22" s="192" t="n">
        <f aca="false">'Citrus DCF'!N13*'Unlev. Consolid'!$B$22</f>
        <v>111033</v>
      </c>
      <c r="P22" s="192" t="n">
        <f aca="false">'Citrus DCF'!O13*'Unlev. Consolid'!$B$22</f>
        <v>111033</v>
      </c>
      <c r="Q22" s="192" t="n">
        <f aca="false">'Citrus DCF'!P13*'Unlev. Consolid'!$B$22</f>
        <v>111033</v>
      </c>
      <c r="R22" s="192" t="n">
        <f aca="false">'Citrus DCF'!Q13*'Unlev. Consolid'!$B$22</f>
        <v>111033</v>
      </c>
      <c r="S22" s="16"/>
      <c r="T22" s="16"/>
    </row>
    <row r="23" customFormat="false" ht="12.75" hidden="false" customHeight="false" outlineLevel="0" collapsed="false">
      <c r="A23" s="318" t="str">
        <f aca="false">A15</f>
        <v>Trailblazer</v>
      </c>
      <c r="B23" s="319" t="n">
        <f aca="false">B15</f>
        <v>1</v>
      </c>
      <c r="C23" s="16"/>
      <c r="D23" s="16"/>
      <c r="E23" s="317" t="n">
        <f aca="false">'Trailblazer DCF'!E13</f>
        <v>4435.856</v>
      </c>
      <c r="F23" s="317" t="n">
        <f aca="false">'Trailblazer DCF'!F13</f>
        <v>3706.308</v>
      </c>
      <c r="G23" s="317" t="n">
        <f aca="false">'Trailblazer DCF'!G13</f>
        <v>4473</v>
      </c>
      <c r="H23" s="192" t="n">
        <f aca="false">'Trailblazer DCF'!H13</f>
        <v>4619.3</v>
      </c>
      <c r="I23" s="192" t="n">
        <f aca="false">'Trailblazer DCF'!I13</f>
        <v>4619.3</v>
      </c>
      <c r="J23" s="192" t="n">
        <f aca="false">'Trailblazer DCF'!J13</f>
        <v>4619.3</v>
      </c>
      <c r="K23" s="192" t="n">
        <f aca="false">'Trailblazer DCF'!K13</f>
        <v>4619.3</v>
      </c>
      <c r="L23" s="192" t="n">
        <f aca="false">'Trailblazer DCF'!L13</f>
        <v>4619.3</v>
      </c>
      <c r="M23" s="192" t="n">
        <f aca="false">'Trailblazer DCF'!M13</f>
        <v>4619.3</v>
      </c>
      <c r="N23" s="192" t="n">
        <f aca="false">'Trailblazer DCF'!N13</f>
        <v>4619.3</v>
      </c>
      <c r="O23" s="192" t="n">
        <f aca="false">'Trailblazer DCF'!O13</f>
        <v>4619.3</v>
      </c>
      <c r="P23" s="192" t="n">
        <f aca="false">'Trailblazer DCF'!P13</f>
        <v>4619.3</v>
      </c>
      <c r="Q23" s="192" t="n">
        <f aca="false">'Trailblazer DCF'!Q13</f>
        <v>4619.3</v>
      </c>
      <c r="R23" s="192" t="n">
        <f aca="false">'Trailblazer DCF'!R13</f>
        <v>4619.3</v>
      </c>
      <c r="S23" s="16"/>
      <c r="T23" s="16"/>
    </row>
    <row r="24" customFormat="false" ht="12.75" hidden="false" customHeight="false" outlineLevel="0" collapsed="false">
      <c r="A24" s="311" t="s">
        <v>162</v>
      </c>
      <c r="B24" s="197"/>
      <c r="C24" s="197"/>
      <c r="D24" s="197"/>
      <c r="E24" s="312" t="n">
        <f aca="false">SUM(E19:E23)</f>
        <v>628365.856</v>
      </c>
      <c r="F24" s="312" t="n">
        <f aca="false">SUM(F19:F23)</f>
        <v>724400.308</v>
      </c>
      <c r="G24" s="312" t="n">
        <f aca="false">SUM(G19:G23)</f>
        <v>647365</v>
      </c>
      <c r="H24" s="199" t="n">
        <f aca="false">SUM(H19:H23)</f>
        <v>599657.3</v>
      </c>
      <c r="I24" s="199" t="n">
        <f aca="false">SUM(I19:I23)</f>
        <v>670676.3</v>
      </c>
      <c r="J24" s="199" t="n">
        <f aca="false">SUM(J19:J23)</f>
        <v>672154.665314685</v>
      </c>
      <c r="K24" s="199" t="n">
        <f aca="false">SUM(K19:K23)</f>
        <v>677145.865314685</v>
      </c>
      <c r="L24" s="199" t="n">
        <f aca="false">SUM(L19:L23)</f>
        <v>677517.865314685</v>
      </c>
      <c r="M24" s="199" t="n">
        <f aca="false">SUM(M19:M23)</f>
        <v>677517.865314685</v>
      </c>
      <c r="N24" s="199" t="n">
        <f aca="false">SUM(N19:N23)</f>
        <v>677517.865314685</v>
      </c>
      <c r="O24" s="199" t="n">
        <f aca="false">SUM(O19:O23)</f>
        <v>677517.865314685</v>
      </c>
      <c r="P24" s="199" t="n">
        <f aca="false">SUM(P19:P23)</f>
        <v>677517.865314685</v>
      </c>
      <c r="Q24" s="199" t="n">
        <f aca="false">SUM(Q19:Q23)</f>
        <v>677517.865314685</v>
      </c>
      <c r="R24" s="199" t="n">
        <f aca="false">SUM(R19:R23)</f>
        <v>677517.865314685</v>
      </c>
    </row>
    <row r="25" customFormat="false" ht="12.75" hidden="false" customHeight="false" outlineLevel="0" collapsed="false">
      <c r="A25" s="320" t="s">
        <v>163</v>
      </c>
      <c r="B25" s="53"/>
      <c r="C25" s="53"/>
      <c r="D25" s="321"/>
      <c r="E25" s="322" t="n">
        <f aca="false">E16/E24</f>
        <v>2.05493743759368</v>
      </c>
      <c r="F25" s="322" t="n">
        <f aca="false">F16/F24</f>
        <v>1.82240555866798</v>
      </c>
      <c r="G25" s="322" t="n">
        <f aca="false">G16/G24</f>
        <v>2.35913859723649</v>
      </c>
      <c r="H25" s="323" t="n">
        <f aca="false">H16/H24</f>
        <v>2.60790707391655</v>
      </c>
      <c r="I25" s="323" t="n">
        <f aca="false">I16/I24</f>
        <v>2.53126957758266</v>
      </c>
      <c r="J25" s="323" t="n">
        <f aca="false">J16/J24</f>
        <v>2.62626408130226</v>
      </c>
      <c r="K25" s="323" t="n">
        <f aca="false">K16/K24</f>
        <v>2.66551755899285</v>
      </c>
      <c r="L25" s="323" t="n">
        <f aca="false">L16/L24</f>
        <v>2.69686359031881</v>
      </c>
      <c r="M25" s="323" t="n">
        <f aca="false">M16/M24</f>
        <v>2.7289961882387</v>
      </c>
      <c r="N25" s="323" t="n">
        <f aca="false">N16/N24</f>
        <v>2.7467943677544</v>
      </c>
      <c r="O25" s="323" t="n">
        <f aca="false">O16/O24</f>
        <v>2.76505841795852</v>
      </c>
      <c r="P25" s="323" t="n">
        <f aca="false">P16/P24</f>
        <v>2.78380315161976</v>
      </c>
      <c r="Q25" s="323" t="n">
        <f aca="false">Q16/Q24</f>
        <v>2.80003498161509</v>
      </c>
      <c r="R25" s="323" t="n">
        <f aca="false">R16/R24</f>
        <v>2.81662841028734</v>
      </c>
    </row>
    <row r="26" customFormat="false" ht="12.75" hidden="false" customHeight="false" outlineLevel="0" collapsed="false">
      <c r="A26" s="316"/>
      <c r="B26" s="53"/>
      <c r="C26" s="53"/>
      <c r="D26" s="321"/>
      <c r="E26" s="322"/>
      <c r="F26" s="322"/>
      <c r="G26" s="322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</row>
    <row r="27" customFormat="false" ht="12.75" hidden="true" customHeight="false" outlineLevel="1" collapsed="false">
      <c r="A27" s="126" t="str">
        <f aca="false">A11</f>
        <v>Northern Natural</v>
      </c>
      <c r="B27" s="53"/>
      <c r="C27" s="53"/>
      <c r="D27" s="321"/>
      <c r="E27" s="317" t="n">
        <f aca="false">E11-E19</f>
        <v>282447</v>
      </c>
      <c r="F27" s="317" t="n">
        <f aca="false">F11-F19</f>
        <v>251710</v>
      </c>
      <c r="G27" s="317" t="n">
        <f aca="false">G11-G19</f>
        <v>265154</v>
      </c>
      <c r="H27" s="192" t="n">
        <f aca="false">H11-H19</f>
        <v>237260</v>
      </c>
      <c r="I27" s="192" t="n">
        <f aca="false">I11-I19</f>
        <v>230595</v>
      </c>
      <c r="J27" s="192" t="n">
        <f aca="false">J11-J19</f>
        <v>242542.794685315</v>
      </c>
      <c r="K27" s="192" t="n">
        <f aca="false">K11-K19</f>
        <v>254719.697885315</v>
      </c>
      <c r="L27" s="192" t="n">
        <f aca="false">L11-L19</f>
        <v>263924.283149315</v>
      </c>
      <c r="M27" s="192" t="n">
        <f aca="false">M11-M19</f>
        <v>273985.460118595</v>
      </c>
      <c r="N27" s="192" t="n">
        <f aca="false">N11-N19</f>
        <v>284268.03562726</v>
      </c>
      <c r="O27" s="192" t="n">
        <f aca="false">O11-O19</f>
        <v>294777.446396099</v>
      </c>
      <c r="P27" s="192" t="n">
        <f aca="false">P11-P19</f>
        <v>305519.288317815</v>
      </c>
      <c r="Q27" s="192" t="n">
        <f aca="false">Q11-Q19</f>
        <v>316499.32216234</v>
      </c>
      <c r="R27" s="192" t="n">
        <f aca="false">R11-R19</f>
        <v>327723.479522349</v>
      </c>
    </row>
    <row r="28" customFormat="false" ht="12.75" hidden="true" customHeight="false" outlineLevel="1" collapsed="false">
      <c r="A28" s="126" t="str">
        <f aca="false">A12</f>
        <v>Transwestern</v>
      </c>
      <c r="B28" s="53"/>
      <c r="C28" s="53"/>
      <c r="D28" s="321"/>
      <c r="E28" s="317" t="n">
        <f aca="false">E12-E20</f>
        <v>122952</v>
      </c>
      <c r="F28" s="317" t="n">
        <f aca="false">F12-F20</f>
        <v>106589</v>
      </c>
      <c r="G28" s="317" t="n">
        <f aca="false">G12-G20</f>
        <v>126049</v>
      </c>
      <c r="H28" s="192" t="n">
        <f aca="false">H12-H20</f>
        <v>148142</v>
      </c>
      <c r="I28" s="192" t="n">
        <f aca="false">I12-I20</f>
        <v>137053</v>
      </c>
      <c r="J28" s="192" t="n">
        <f aca="false">J12-J20</f>
        <v>155309.98</v>
      </c>
      <c r="K28" s="192" t="n">
        <f aca="false">K12-K20</f>
        <v>165941.4162</v>
      </c>
      <c r="L28" s="192" t="n">
        <f aca="false">L12-L20</f>
        <v>177091.899698</v>
      </c>
      <c r="M28" s="192" t="n">
        <f aca="false">M12-M20</f>
        <v>188801.13187842</v>
      </c>
      <c r="N28" s="192" t="n">
        <f aca="false">N12-N20</f>
        <v>190577.140961716</v>
      </c>
      <c r="O28" s="192" t="n">
        <f aca="false">O12-O20</f>
        <v>192441.950499177</v>
      </c>
      <c r="P28" s="192" t="n">
        <f aca="false">P12-P20</f>
        <v>194400.000513511</v>
      </c>
      <c r="Q28" s="192" t="n">
        <f aca="false">Q12-Q20</f>
        <v>194417.321477573</v>
      </c>
      <c r="R28" s="192" t="n">
        <f aca="false">R12-R20</f>
        <v>194435.508489839</v>
      </c>
    </row>
    <row r="29" customFormat="false" ht="12.75" hidden="true" customHeight="false" outlineLevel="1" collapsed="false">
      <c r="A29" s="126" t="str">
        <f aca="false">A13</f>
        <v>Northern Border Partners</v>
      </c>
      <c r="B29" s="53"/>
      <c r="C29" s="53"/>
      <c r="D29" s="321"/>
      <c r="E29" s="317" t="n">
        <f aca="false">E13-E21</f>
        <v>0</v>
      </c>
      <c r="F29" s="317" t="n">
        <f aca="false">F13-F21</f>
        <v>0</v>
      </c>
      <c r="G29" s="317" t="n">
        <f aca="false">G13-G21</f>
        <v>249001</v>
      </c>
      <c r="H29" s="192" t="n">
        <f aca="false">H13-H21</f>
        <v>309330</v>
      </c>
      <c r="I29" s="192" t="n">
        <f aca="false">I13-I21</f>
        <v>342113</v>
      </c>
      <c r="J29" s="192" t="n">
        <f aca="false">J13-J21</f>
        <v>347048</v>
      </c>
      <c r="K29" s="192" t="n">
        <f aca="false">K13-K21</f>
        <v>360108</v>
      </c>
      <c r="L29" s="192" t="n">
        <f aca="false">L13-L21</f>
        <v>365396</v>
      </c>
      <c r="M29" s="192" t="n">
        <f aca="false">M13-M21</f>
        <v>365396</v>
      </c>
      <c r="N29" s="192" t="n">
        <f aca="false">N13-N21</f>
        <v>365396</v>
      </c>
      <c r="O29" s="192" t="n">
        <f aca="false">O13-O21</f>
        <v>365396</v>
      </c>
      <c r="P29" s="192" t="n">
        <f aca="false">P13-P21</f>
        <v>365396</v>
      </c>
      <c r="Q29" s="192" t="n">
        <f aca="false">Q13-Q21</f>
        <v>365396</v>
      </c>
      <c r="R29" s="192" t="n">
        <f aca="false">R13-R21</f>
        <v>365396</v>
      </c>
    </row>
    <row r="30" customFormat="false" ht="12.75" hidden="true" customHeight="false" outlineLevel="1" collapsed="false">
      <c r="A30" s="126" t="str">
        <f aca="false">A14</f>
        <v>Citrus</v>
      </c>
      <c r="B30" s="53"/>
      <c r="C30" s="53"/>
      <c r="D30" s="321"/>
      <c r="E30" s="317" t="n">
        <f aca="false">E14-E22</f>
        <v>219186</v>
      </c>
      <c r="F30" s="317" t="n">
        <f aca="false">F14-F22</f>
        <v>207447</v>
      </c>
      <c r="G30" s="317" t="n">
        <f aca="false">G14-G22</f>
        <v>215043</v>
      </c>
      <c r="H30" s="192" t="n">
        <f aca="false">H14-H22</f>
        <v>246277</v>
      </c>
      <c r="I30" s="192" t="n">
        <f aca="false">I14-I22</f>
        <v>294041</v>
      </c>
      <c r="J30" s="192" t="n">
        <f aca="false">J14-J22</f>
        <v>325016</v>
      </c>
      <c r="K30" s="192" t="n">
        <f aca="false">K14-K22</f>
        <v>323845</v>
      </c>
      <c r="L30" s="192" t="n">
        <f aca="false">L14-L22</f>
        <v>320059</v>
      </c>
      <c r="M30" s="192" t="n">
        <f aca="false">M14-M22</f>
        <v>320059</v>
      </c>
      <c r="N30" s="192" t="n">
        <f aca="false">N14-N22</f>
        <v>320059</v>
      </c>
      <c r="O30" s="192" t="n">
        <f aca="false">O14-O22</f>
        <v>320059</v>
      </c>
      <c r="P30" s="192" t="n">
        <f aca="false">P14-P22</f>
        <v>320059</v>
      </c>
      <c r="Q30" s="192" t="n">
        <f aca="false">Q14-Q22</f>
        <v>320059</v>
      </c>
      <c r="R30" s="192" t="n">
        <f aca="false">R14-R22</f>
        <v>320059</v>
      </c>
    </row>
    <row r="31" customFormat="false" ht="12.75" hidden="true" customHeight="false" outlineLevel="1" collapsed="false">
      <c r="A31" s="126" t="str">
        <f aca="false">A15</f>
        <v>Trailblazer</v>
      </c>
      <c r="B31" s="53"/>
      <c r="C31" s="53"/>
      <c r="D31" s="321"/>
      <c r="E31" s="317" t="n">
        <f aca="false">'Trailblazer DCF'!E15</f>
        <v>38301.666</v>
      </c>
      <c r="F31" s="317" t="n">
        <f aca="false">'Trailblazer DCF'!F15</f>
        <v>30004.84</v>
      </c>
      <c r="G31" s="317" t="n">
        <f aca="false">'Trailblazer DCF'!G15</f>
        <v>24611.758</v>
      </c>
      <c r="H31" s="192" t="n">
        <f aca="false">'Trailblazer DCF'!H15</f>
        <v>23184.2145956992</v>
      </c>
      <c r="I31" s="192" t="n">
        <f aca="false">'Trailblazer DCF'!I15</f>
        <v>23184.2145956992</v>
      </c>
      <c r="J31" s="192" t="n">
        <f aca="false">'Trailblazer DCF'!J15</f>
        <v>23184.2145956992</v>
      </c>
      <c r="K31" s="192" t="n">
        <f aca="false">'Trailblazer DCF'!K15</f>
        <v>23184.2145956992</v>
      </c>
      <c r="L31" s="192" t="n">
        <f aca="false">'Trailblazer DCF'!L15</f>
        <v>23184.2145956992</v>
      </c>
      <c r="M31" s="192" t="n">
        <f aca="false">'Trailblazer DCF'!M15</f>
        <v>23184.2145956992</v>
      </c>
      <c r="N31" s="192" t="n">
        <f aca="false">'Trailblazer DCF'!N15</f>
        <v>23184.2145956992</v>
      </c>
      <c r="O31" s="192" t="n">
        <f aca="false">'Trailblazer DCF'!O15</f>
        <v>23184.2145956992</v>
      </c>
      <c r="P31" s="192" t="n">
        <f aca="false">'Trailblazer DCF'!P15</f>
        <v>23184.2145956992</v>
      </c>
      <c r="Q31" s="192" t="n">
        <f aca="false">'Trailblazer DCF'!Q15</f>
        <v>23184.2145956992</v>
      </c>
      <c r="R31" s="192" t="n">
        <f aca="false">'Trailblazer DCF'!R15</f>
        <v>23184.2145956992</v>
      </c>
    </row>
    <row r="32" customFormat="false" ht="12.75" hidden="false" customHeight="false" outlineLevel="0" collapsed="false">
      <c r="A32" s="324" t="s">
        <v>164</v>
      </c>
      <c r="B32" s="197"/>
      <c r="C32" s="197"/>
      <c r="D32" s="197"/>
      <c r="E32" s="312" t="n">
        <f aca="false">E16-E24</f>
        <v>662886.666</v>
      </c>
      <c r="F32" s="312" t="n">
        <f aca="false">F16-F24</f>
        <v>595750.84</v>
      </c>
      <c r="G32" s="312" t="n">
        <f aca="false">G16-G24</f>
        <v>879858.758</v>
      </c>
      <c r="H32" s="199" t="n">
        <f aca="false">H16-H24</f>
        <v>964193.214595699</v>
      </c>
      <c r="I32" s="199" t="n">
        <f aca="false">I16-I24</f>
        <v>1026986.2145957</v>
      </c>
      <c r="J32" s="199" t="n">
        <f aca="false">J16-J24</f>
        <v>1093100.98928101</v>
      </c>
      <c r="K32" s="199" t="n">
        <f aca="false">K16-K24</f>
        <v>1127798.32868101</v>
      </c>
      <c r="L32" s="199" t="n">
        <f aca="false">L16-L24</f>
        <v>1149655.39744301</v>
      </c>
      <c r="M32" s="199" t="n">
        <f aca="false">M16-M24</f>
        <v>1171425.80659271</v>
      </c>
      <c r="N32" s="199" t="n">
        <f aca="false">N16-N24</f>
        <v>1183484.39118468</v>
      </c>
      <c r="O32" s="199" t="n">
        <f aca="false">O16-O24</f>
        <v>1195858.61149098</v>
      </c>
      <c r="P32" s="199" t="n">
        <f aca="false">P16-P24</f>
        <v>1208558.50342703</v>
      </c>
      <c r="Q32" s="199" t="n">
        <f aca="false">Q16-Q24</f>
        <v>1219555.85823561</v>
      </c>
      <c r="R32" s="199" t="n">
        <f aca="false">R16-R24</f>
        <v>1230798.20260789</v>
      </c>
    </row>
    <row r="33" customFormat="false" ht="12.75" hidden="false" customHeight="false" outlineLevel="0" collapsed="false">
      <c r="A33" s="320" t="s">
        <v>165</v>
      </c>
      <c r="B33" s="53"/>
      <c r="C33" s="53"/>
      <c r="D33" s="53"/>
      <c r="E33" s="325" t="n">
        <f aca="false">E32/E16</f>
        <v>0.51336718008749</v>
      </c>
      <c r="F33" s="325" t="n">
        <f aca="false">F32/F16</f>
        <v>0.451274720248927</v>
      </c>
      <c r="G33" s="325" t="n">
        <f aca="false">G32/G16</f>
        <v>0.576116468455305</v>
      </c>
      <c r="H33" s="326" t="n">
        <f aca="false">H32/H16</f>
        <v>0.616550754433822</v>
      </c>
      <c r="I33" s="326" t="n">
        <f aca="false">I32/I16</f>
        <v>0.604941327128424</v>
      </c>
      <c r="J33" s="326" t="n">
        <f aca="false">J32/J16</f>
        <v>0.619230980189875</v>
      </c>
      <c r="K33" s="326" t="n">
        <f aca="false">K32/K16</f>
        <v>0.624838337070327</v>
      </c>
      <c r="L33" s="326" t="n">
        <f aca="false">L32/L16</f>
        <v>0.629198894749517</v>
      </c>
      <c r="M33" s="326" t="n">
        <f aca="false">M32/M16</f>
        <v>0.633564896752237</v>
      </c>
      <c r="N33" s="326" t="n">
        <f aca="false">N32/N16</f>
        <v>0.635939256414911</v>
      </c>
      <c r="O33" s="326" t="n">
        <f aca="false">O32/O16</f>
        <v>0.638343988139566</v>
      </c>
      <c r="P33" s="326" t="n">
        <f aca="false">P32/P16</f>
        <v>0.640779198264019</v>
      </c>
      <c r="Q33" s="326" t="n">
        <f aca="false">Q32/Q16</f>
        <v>0.642861604742098</v>
      </c>
      <c r="R33" s="326" t="n">
        <f aca="false">R32/R16</f>
        <v>0.64496559207184</v>
      </c>
    </row>
    <row r="34" customFormat="false" ht="12.75" hidden="false" customHeight="false" outlineLevel="0" collapsed="false">
      <c r="A34" s="16"/>
      <c r="E34" s="327"/>
      <c r="F34" s="325"/>
      <c r="G34" s="325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</row>
    <row r="35" customFormat="false" ht="12.75" hidden="true" customHeight="false" outlineLevel="1" collapsed="false">
      <c r="A35" s="316" t="s">
        <v>166</v>
      </c>
      <c r="B35" s="304" t="s">
        <v>159</v>
      </c>
      <c r="E35" s="317"/>
      <c r="F35" s="317"/>
      <c r="G35" s="317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customFormat="false" ht="12.75" hidden="true" customHeight="false" outlineLevel="1" collapsed="false">
      <c r="A36" s="318" t="str">
        <f aca="false">A19</f>
        <v>Northern Natural</v>
      </c>
      <c r="B36" s="309" t="n">
        <f aca="false">B19</f>
        <v>1</v>
      </c>
      <c r="E36" s="317" t="n">
        <f aca="false">'Northern Natural DCF'!E19*$B$36</f>
        <v>20743</v>
      </c>
      <c r="F36" s="317" t="n">
        <f aca="false">'Northern Natural DCF'!F19*$B$36</f>
        <v>23922</v>
      </c>
      <c r="G36" s="317" t="n">
        <f aca="false">'Northern Natural DCF'!G19*$B$36</f>
        <v>47130</v>
      </c>
      <c r="H36" s="192" t="n">
        <f aca="false">'Northern Natural DCF'!H19*$B$36</f>
        <v>20354</v>
      </c>
      <c r="I36" s="192" t="n">
        <f aca="false">'Northern Natural DCF'!I19*$B$36</f>
        <v>31946</v>
      </c>
      <c r="J36" s="192" t="n">
        <f aca="false">'Northern Natural DCF'!J19*$B$36</f>
        <v>31946</v>
      </c>
      <c r="K36" s="192" t="n">
        <f aca="false">'Northern Natural DCF'!K19*$B$36</f>
        <v>31946</v>
      </c>
      <c r="L36" s="192" t="n">
        <f aca="false">'Northern Natural DCF'!L19*$B$36</f>
        <v>31946</v>
      </c>
      <c r="M36" s="192" t="n">
        <f aca="false">'Northern Natural DCF'!M19*$B$36</f>
        <v>31946</v>
      </c>
      <c r="N36" s="192" t="n">
        <f aca="false">'Northern Natural DCF'!N19*$B$36</f>
        <v>31946</v>
      </c>
      <c r="O36" s="192" t="n">
        <f aca="false">'Northern Natural DCF'!O19*$B$36</f>
        <v>31946</v>
      </c>
      <c r="P36" s="192" t="n">
        <f aca="false">'Northern Natural DCF'!P19*$B$36</f>
        <v>31946</v>
      </c>
      <c r="Q36" s="192" t="n">
        <f aca="false">'Northern Natural DCF'!Q19*$B$36</f>
        <v>31946</v>
      </c>
      <c r="R36" s="192" t="n">
        <f aca="false">'Northern Natural DCF'!R19*$B$36</f>
        <v>31946</v>
      </c>
    </row>
    <row r="37" customFormat="false" ht="12.75" hidden="true" customHeight="false" outlineLevel="1" collapsed="false">
      <c r="A37" s="318" t="str">
        <f aca="false">A20</f>
        <v>Transwestern</v>
      </c>
      <c r="B37" s="309" t="n">
        <f aca="false">B20</f>
        <v>1</v>
      </c>
      <c r="E37" s="317" t="n">
        <f aca="false">'Transwestern DCF'!E19*'Unlev. Consolid'!$B$37</f>
        <v>15180</v>
      </c>
      <c r="F37" s="317" t="n">
        <f aca="false">'Transwestern DCF'!F19*'Unlev. Consolid'!$B$37</f>
        <v>20630</v>
      </c>
      <c r="G37" s="317" t="n">
        <f aca="false">'Transwestern DCF'!G19*'Unlev. Consolid'!$B$37</f>
        <v>23853</v>
      </c>
      <c r="H37" s="192" t="n">
        <f aca="false">'Transwestern DCF'!H19*'Unlev. Consolid'!$B$37</f>
        <v>8605</v>
      </c>
      <c r="I37" s="192" t="n">
        <f aca="false">'Transwestern DCF'!I19*'Unlev. Consolid'!$B$37</f>
        <v>13541</v>
      </c>
      <c r="J37" s="192" t="n">
        <f aca="false">'Transwestern DCF'!J19*'Unlev. Consolid'!$B$37</f>
        <v>11341</v>
      </c>
      <c r="K37" s="192" t="n">
        <f aca="false">'Transwestern DCF'!K19*'Unlev. Consolid'!$B$37</f>
        <v>11341</v>
      </c>
      <c r="L37" s="192" t="n">
        <f aca="false">'Transwestern DCF'!L19*'Unlev. Consolid'!$B$37</f>
        <v>11341</v>
      </c>
      <c r="M37" s="192" t="n">
        <f aca="false">'Transwestern DCF'!M19*'Unlev. Consolid'!$B$37</f>
        <v>11341</v>
      </c>
      <c r="N37" s="192" t="n">
        <f aca="false">'Transwestern DCF'!N19*'Unlev. Consolid'!$B$37</f>
        <v>11341</v>
      </c>
      <c r="O37" s="192" t="n">
        <f aca="false">'Transwestern DCF'!O19*'Unlev. Consolid'!$B$37</f>
        <v>11341</v>
      </c>
      <c r="P37" s="192" t="n">
        <f aca="false">'Transwestern DCF'!P19*'Unlev. Consolid'!$B$37</f>
        <v>11341</v>
      </c>
      <c r="Q37" s="192" t="n">
        <f aca="false">'Transwestern DCF'!Q19*'Unlev. Consolid'!$B$37</f>
        <v>11341</v>
      </c>
      <c r="R37" s="192" t="n">
        <f aca="false">'Transwestern DCF'!R19*'Unlev. Consolid'!$B$37</f>
        <v>11341</v>
      </c>
    </row>
    <row r="38" customFormat="false" ht="12.75" hidden="true" customHeight="false" outlineLevel="1" collapsed="false">
      <c r="A38" s="318" t="str">
        <f aca="false">A21</f>
        <v>Northern Border Partners</v>
      </c>
      <c r="B38" s="309" t="n">
        <f aca="false">B21</f>
        <v>1</v>
      </c>
      <c r="E38" s="317" t="n">
        <f aca="false">'NBP DCF'!C18*$B$38</f>
        <v>0</v>
      </c>
      <c r="F38" s="317" t="n">
        <f aca="false">'NBP DCF'!D18*$B$38</f>
        <v>0</v>
      </c>
      <c r="G38" s="317" t="n">
        <f aca="false">'NBP DCF'!E18*$B$38</f>
        <v>8032</v>
      </c>
      <c r="H38" s="192" t="n">
        <f aca="false">'NBP DCF'!F18*$B$38</f>
        <v>0</v>
      </c>
      <c r="I38" s="192" t="n">
        <f aca="false">'NBP DCF'!G18*$B$38</f>
        <v>0</v>
      </c>
      <c r="J38" s="192" t="n">
        <f aca="false">'NBP DCF'!H18*$B$38</f>
        <v>0</v>
      </c>
      <c r="K38" s="192" t="n">
        <f aca="false">'NBP DCF'!I18*$B$38</f>
        <v>0</v>
      </c>
      <c r="L38" s="192" t="n">
        <f aca="false">'NBP DCF'!J18*$B$38</f>
        <v>0</v>
      </c>
      <c r="M38" s="192" t="n">
        <f aca="false">'NBP DCF'!K18*$B$38</f>
        <v>0</v>
      </c>
      <c r="N38" s="192" t="n">
        <f aca="false">'NBP DCF'!L18*$B$38</f>
        <v>0</v>
      </c>
      <c r="O38" s="192" t="n">
        <f aca="false">'NBP DCF'!M18*$B$38</f>
        <v>0</v>
      </c>
      <c r="P38" s="192" t="n">
        <f aca="false">'NBP DCF'!N18*$B$38</f>
        <v>0</v>
      </c>
      <c r="Q38" s="192" t="n">
        <f aca="false">'NBP DCF'!O18*$B$38</f>
        <v>0</v>
      </c>
      <c r="R38" s="192" t="n">
        <f aca="false">'NBP DCF'!P18*$B$38</f>
        <v>0</v>
      </c>
    </row>
    <row r="39" customFormat="false" ht="12.75" hidden="true" customHeight="false" outlineLevel="1" collapsed="false">
      <c r="A39" s="318" t="str">
        <f aca="false">A22</f>
        <v>Citrus</v>
      </c>
      <c r="B39" s="309" t="n">
        <f aca="false">B22</f>
        <v>1</v>
      </c>
      <c r="E39" s="317" t="n">
        <f aca="false">'Citrus DCF'!D19*'Unlev. Consolid'!$B$39</f>
        <v>-4426</v>
      </c>
      <c r="F39" s="317" t="n">
        <f aca="false">'Citrus DCF'!E19*'Unlev. Consolid'!$B$39</f>
        <v>7961</v>
      </c>
      <c r="G39" s="317" t="n">
        <f aca="false">'Citrus DCF'!F19*'Unlev. Consolid'!$B$39</f>
        <v>23494</v>
      </c>
      <c r="H39" s="192" t="n">
        <f aca="false">'Citrus DCF'!G19*'Unlev. Consolid'!$B$39</f>
        <v>35783</v>
      </c>
      <c r="I39" s="192" t="n">
        <f aca="false">'Citrus DCF'!H19*'Unlev. Consolid'!$B$39</f>
        <v>26605</v>
      </c>
      <c r="J39" s="192" t="n">
        <f aca="false">'Citrus DCF'!I19*'Unlev. Consolid'!$B$39</f>
        <v>10471</v>
      </c>
      <c r="K39" s="192" t="n">
        <f aca="false">'Citrus DCF'!J19*'Unlev. Consolid'!$B$39</f>
        <v>2875</v>
      </c>
      <c r="L39" s="192" t="n">
        <f aca="false">'Citrus DCF'!K19*'Unlev. Consolid'!$B$39</f>
        <v>2108</v>
      </c>
      <c r="M39" s="192" t="n">
        <f aca="false">'Citrus DCF'!L19*'Unlev. Consolid'!$B$39</f>
        <v>2108</v>
      </c>
      <c r="N39" s="192" t="n">
        <f aca="false">'Citrus DCF'!M19*'Unlev. Consolid'!$B$39</f>
        <v>2108</v>
      </c>
      <c r="O39" s="192" t="n">
        <f aca="false">'Citrus DCF'!N19*'Unlev. Consolid'!$B$39</f>
        <v>2108</v>
      </c>
      <c r="P39" s="192" t="n">
        <f aca="false">'Citrus DCF'!O19*'Unlev. Consolid'!$B$39</f>
        <v>2108</v>
      </c>
      <c r="Q39" s="192" t="n">
        <f aca="false">'Citrus DCF'!P19*'Unlev. Consolid'!$B$39</f>
        <v>2108</v>
      </c>
      <c r="R39" s="192" t="n">
        <f aca="false">'Citrus DCF'!Q19*'Unlev. Consolid'!$B$39</f>
        <v>2108</v>
      </c>
    </row>
    <row r="40" customFormat="false" ht="12.75" hidden="true" customHeight="false" outlineLevel="1" collapsed="false">
      <c r="A40" s="318" t="str">
        <f aca="false">A23</f>
        <v>Trailblazer</v>
      </c>
      <c r="B40" s="309" t="n">
        <f aca="false">B23</f>
        <v>1</v>
      </c>
      <c r="E40" s="317" t="n">
        <f aca="false">'Trailblazer DCF'!E19</f>
        <v>637.8</v>
      </c>
      <c r="F40" s="317" t="n">
        <f aca="false">'Trailblazer DCF'!F19</f>
        <v>978.9</v>
      </c>
      <c r="G40" s="317" t="n">
        <f aca="false">'Trailblazer DCF'!G19</f>
        <v>1294.5</v>
      </c>
      <c r="H40" s="192" t="n">
        <f aca="false">'Trailblazer DCF'!H19</f>
        <v>1294.5</v>
      </c>
      <c r="I40" s="192" t="n">
        <f aca="false">'Trailblazer DCF'!I19</f>
        <v>1294.5</v>
      </c>
      <c r="J40" s="192" t="n">
        <f aca="false">'Trailblazer DCF'!J19</f>
        <v>1294.5</v>
      </c>
      <c r="K40" s="192" t="n">
        <f aca="false">'Trailblazer DCF'!K19</f>
        <v>1294.5</v>
      </c>
      <c r="L40" s="192" t="n">
        <f aca="false">'Trailblazer DCF'!L19</f>
        <v>1294.5</v>
      </c>
      <c r="M40" s="192" t="n">
        <f aca="false">'Trailblazer DCF'!M19</f>
        <v>1294.5</v>
      </c>
      <c r="N40" s="192" t="n">
        <f aca="false">'Trailblazer DCF'!N19</f>
        <v>1294.5</v>
      </c>
      <c r="O40" s="192" t="n">
        <f aca="false">'Trailblazer DCF'!O19</f>
        <v>1294.5</v>
      </c>
      <c r="P40" s="192" t="n">
        <f aca="false">'Trailblazer DCF'!P19</f>
        <v>1294.5</v>
      </c>
      <c r="Q40" s="192" t="n">
        <f aca="false">'Trailblazer DCF'!Q19</f>
        <v>1294.5</v>
      </c>
      <c r="R40" s="192" t="n">
        <f aca="false">'Trailblazer DCF'!R19</f>
        <v>1294.5</v>
      </c>
    </row>
    <row r="41" customFormat="false" ht="12.75" hidden="false" customHeight="false" outlineLevel="0" collapsed="false">
      <c r="A41" s="328" t="s">
        <v>167</v>
      </c>
      <c r="B41" s="16"/>
      <c r="C41" s="16"/>
      <c r="D41" s="16"/>
      <c r="E41" s="317" t="n">
        <f aca="false">SUM(E36:E40)</f>
        <v>32134.8</v>
      </c>
      <c r="F41" s="317" t="n">
        <f aca="false">SUM(F36:F40)</f>
        <v>53491.9</v>
      </c>
      <c r="G41" s="317" t="n">
        <f aca="false">SUM(G36:G40)</f>
        <v>103803.5</v>
      </c>
      <c r="H41" s="192" t="n">
        <f aca="false">SUM(H36:H40)</f>
        <v>66036.5</v>
      </c>
      <c r="I41" s="192" t="n">
        <f aca="false">SUM(I36:I40)</f>
        <v>73386.5</v>
      </c>
      <c r="J41" s="192" t="n">
        <f aca="false">SUM(J36:J40)</f>
        <v>55052.5</v>
      </c>
      <c r="K41" s="192" t="n">
        <f aca="false">SUM(K36:K40)</f>
        <v>47456.5</v>
      </c>
      <c r="L41" s="192" t="n">
        <f aca="false">SUM(L36:L40)</f>
        <v>46689.5</v>
      </c>
      <c r="M41" s="192" t="n">
        <f aca="false">SUM(M36:M40)</f>
        <v>46689.5</v>
      </c>
      <c r="N41" s="192" t="n">
        <f aca="false">SUM(N36:N40)</f>
        <v>46689.5</v>
      </c>
      <c r="O41" s="192" t="n">
        <f aca="false">SUM(O36:O40)</f>
        <v>46689.5</v>
      </c>
      <c r="P41" s="192" t="n">
        <f aca="false">SUM(P36:P40)</f>
        <v>46689.5</v>
      </c>
      <c r="Q41" s="192" t="n">
        <f aca="false">SUM(Q36:Q40)</f>
        <v>46689.5</v>
      </c>
      <c r="R41" s="192" t="n">
        <f aca="false">SUM(R36:R40)</f>
        <v>46689.5</v>
      </c>
    </row>
    <row r="42" customFormat="false" ht="12.75" hidden="false" customHeight="false" outlineLevel="0" collapsed="false">
      <c r="A42" s="328"/>
      <c r="B42" s="16"/>
      <c r="C42" s="16"/>
      <c r="D42" s="16"/>
      <c r="E42" s="317"/>
      <c r="F42" s="317"/>
      <c r="G42" s="317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customFormat="false" ht="12.75" hidden="true" customHeight="false" outlineLevel="1" collapsed="false">
      <c r="A43" s="329" t="s">
        <v>168</v>
      </c>
      <c r="B43" s="330" t="s">
        <v>159</v>
      </c>
      <c r="C43" s="16"/>
      <c r="D43" s="16"/>
      <c r="E43" s="307"/>
      <c r="F43" s="307"/>
      <c r="G43" s="307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</row>
    <row r="44" customFormat="false" ht="12.75" hidden="true" customHeight="false" outlineLevel="1" collapsed="false">
      <c r="A44" s="318" t="str">
        <f aca="false">A36</f>
        <v>Northern Natural</v>
      </c>
      <c r="B44" s="319" t="n">
        <f aca="false">B36</f>
        <v>1</v>
      </c>
      <c r="C44" s="16"/>
      <c r="D44" s="16"/>
      <c r="E44" s="317" t="n">
        <f aca="false">'Northern Natural DCF'!E20*$B$44</f>
        <v>0</v>
      </c>
      <c r="F44" s="317" t="n">
        <f aca="false">'Northern Natural DCF'!F20*$B$44</f>
        <v>0</v>
      </c>
      <c r="G44" s="317" t="n">
        <f aca="false">'Northern Natural DCF'!G20*$B$44</f>
        <v>0</v>
      </c>
      <c r="H44" s="192" t="n">
        <f aca="false">'Northern Natural DCF'!H20*$B$44</f>
        <v>0</v>
      </c>
      <c r="I44" s="192" t="n">
        <f aca="false">'Northern Natural DCF'!I20*$B$44</f>
        <v>0</v>
      </c>
      <c r="J44" s="192" t="n">
        <f aca="false">'Northern Natural DCF'!J20*$B$44</f>
        <v>0</v>
      </c>
      <c r="K44" s="192" t="n">
        <f aca="false">'Northern Natural DCF'!K20*$B$44</f>
        <v>0</v>
      </c>
      <c r="L44" s="192" t="n">
        <f aca="false">'Northern Natural DCF'!L20*$B$44</f>
        <v>0</v>
      </c>
      <c r="M44" s="192" t="n">
        <f aca="false">'Northern Natural DCF'!M20*$B$44</f>
        <v>0</v>
      </c>
      <c r="N44" s="192" t="n">
        <f aca="false">'Northern Natural DCF'!N20*$B$44</f>
        <v>0</v>
      </c>
      <c r="O44" s="192" t="n">
        <f aca="false">'Northern Natural DCF'!O20*$B$44</f>
        <v>0</v>
      </c>
      <c r="P44" s="192" t="n">
        <f aca="false">'Northern Natural DCF'!P20*$B$44</f>
        <v>0</v>
      </c>
      <c r="Q44" s="192" t="n">
        <f aca="false">'Northern Natural DCF'!Q20*$B$44</f>
        <v>0</v>
      </c>
      <c r="R44" s="192" t="n">
        <f aca="false">'Northern Natural DCF'!R20*$B$44</f>
        <v>0</v>
      </c>
    </row>
    <row r="45" customFormat="false" ht="12.75" hidden="true" customHeight="false" outlineLevel="1" collapsed="false">
      <c r="A45" s="318" t="str">
        <f aca="false">A37</f>
        <v>Transwestern</v>
      </c>
      <c r="B45" s="319" t="n">
        <f aca="false">B37</f>
        <v>1</v>
      </c>
      <c r="C45" s="16"/>
      <c r="D45" s="16"/>
      <c r="E45" s="317" t="n">
        <f aca="false">$B$45*'Transwestern DCF'!E20</f>
        <v>0</v>
      </c>
      <c r="F45" s="317" t="n">
        <f aca="false">$B$45*'Transwestern DCF'!F20</f>
        <v>0</v>
      </c>
      <c r="G45" s="317" t="n">
        <f aca="false">$B$45*'Transwestern DCF'!G20</f>
        <v>0</v>
      </c>
      <c r="H45" s="192" t="n">
        <f aca="false">$B$45*'Transwestern DCF'!H20</f>
        <v>0</v>
      </c>
      <c r="I45" s="192" t="n">
        <f aca="false">$B$45*'Transwestern DCF'!I20</f>
        <v>0</v>
      </c>
      <c r="J45" s="192" t="n">
        <f aca="false">$B$45*'Transwestern DCF'!J20</f>
        <v>0</v>
      </c>
      <c r="K45" s="192" t="n">
        <f aca="false">$B$45*'Transwestern DCF'!K20</f>
        <v>0</v>
      </c>
      <c r="L45" s="192" t="n">
        <f aca="false">$B$45*'Transwestern DCF'!L20</f>
        <v>0</v>
      </c>
      <c r="M45" s="192" t="n">
        <f aca="false">$B$45*'Transwestern DCF'!M20</f>
        <v>0</v>
      </c>
      <c r="N45" s="192" t="n">
        <f aca="false">$B$45*'Transwestern DCF'!N20</f>
        <v>0</v>
      </c>
      <c r="O45" s="192" t="n">
        <f aca="false">$B$45*'Transwestern DCF'!O20</f>
        <v>0</v>
      </c>
      <c r="P45" s="192" t="n">
        <f aca="false">$B$45*'Transwestern DCF'!P20</f>
        <v>0</v>
      </c>
      <c r="Q45" s="192" t="n">
        <f aca="false">$B$45*'Transwestern DCF'!Q20</f>
        <v>0</v>
      </c>
      <c r="R45" s="192" t="n">
        <f aca="false">$B$45*'Transwestern DCF'!R20</f>
        <v>0</v>
      </c>
    </row>
    <row r="46" customFormat="false" ht="12.75" hidden="true" customHeight="false" outlineLevel="1" collapsed="false">
      <c r="A46" s="318" t="str">
        <f aca="false">A38</f>
        <v>Northern Border Partners</v>
      </c>
      <c r="B46" s="319" t="n">
        <f aca="false">B38</f>
        <v>1</v>
      </c>
      <c r="C46" s="16"/>
      <c r="D46" s="16"/>
      <c r="E46" s="317" t="n">
        <f aca="false">$B$46*'NBP DCF'!C19</f>
        <v>0</v>
      </c>
      <c r="F46" s="317" t="n">
        <f aca="false">$B$46*'NBP DCF'!D19</f>
        <v>0</v>
      </c>
      <c r="G46" s="317" t="n">
        <f aca="false">$B$46*'NBP DCF'!E19</f>
        <v>38119</v>
      </c>
      <c r="H46" s="192" t="n">
        <f aca="false">$B$46*'NBP DCF'!F19</f>
        <v>0</v>
      </c>
      <c r="I46" s="192" t="n">
        <f aca="false">$B$46*'NBP DCF'!G19</f>
        <v>0</v>
      </c>
      <c r="J46" s="192" t="n">
        <f aca="false">$B$46*'NBP DCF'!H19</f>
        <v>0</v>
      </c>
      <c r="K46" s="192" t="n">
        <f aca="false">$B$46*'NBP DCF'!I19</f>
        <v>0</v>
      </c>
      <c r="L46" s="192" t="n">
        <f aca="false">$B$46*'NBP DCF'!J19</f>
        <v>0</v>
      </c>
      <c r="M46" s="192" t="n">
        <f aca="false">$B$46*'NBP DCF'!K19</f>
        <v>0</v>
      </c>
      <c r="N46" s="192" t="n">
        <f aca="false">$B$46*'NBP DCF'!L19</f>
        <v>0</v>
      </c>
      <c r="O46" s="192" t="n">
        <f aca="false">$B$46*'NBP DCF'!M19</f>
        <v>0</v>
      </c>
      <c r="P46" s="192" t="n">
        <f aca="false">$B$46*'NBP DCF'!N19</f>
        <v>0</v>
      </c>
      <c r="Q46" s="192" t="n">
        <f aca="false">$B$46*'NBP DCF'!O19</f>
        <v>0</v>
      </c>
      <c r="R46" s="192" t="n">
        <f aca="false">$B$46*'NBP DCF'!P19</f>
        <v>0</v>
      </c>
    </row>
    <row r="47" customFormat="false" ht="12.75" hidden="true" customHeight="false" outlineLevel="1" collapsed="false">
      <c r="A47" s="318" t="str">
        <f aca="false">A39</f>
        <v>Citrus</v>
      </c>
      <c r="B47" s="319" t="n">
        <f aca="false">B39</f>
        <v>1</v>
      </c>
      <c r="C47" s="16"/>
      <c r="D47" s="16"/>
      <c r="E47" s="317" t="n">
        <f aca="false">'Citrus DCF'!D20*'Unlev. Consolid'!$B$47</f>
        <v>88289</v>
      </c>
      <c r="F47" s="317" t="n">
        <f aca="false">'Citrus DCF'!E20*'Unlev. Consolid'!$B$47</f>
        <v>82538</v>
      </c>
      <c r="G47" s="317" t="n">
        <f aca="false">'Citrus DCF'!F20*'Unlev. Consolid'!$B$47</f>
        <v>82117</v>
      </c>
      <c r="H47" s="192" t="n">
        <f aca="false">'Citrus DCF'!G20*'Unlev. Consolid'!$B$47</f>
        <v>0</v>
      </c>
      <c r="I47" s="192" t="n">
        <f aca="false">'Citrus DCF'!H20*'Unlev. Consolid'!$B$47</f>
        <v>0</v>
      </c>
      <c r="J47" s="192" t="n">
        <f aca="false">'Citrus DCF'!I20*'Unlev. Consolid'!$B$47</f>
        <v>0</v>
      </c>
      <c r="K47" s="192" t="n">
        <f aca="false">'Citrus DCF'!J20*'Unlev. Consolid'!$B$47</f>
        <v>0</v>
      </c>
      <c r="L47" s="192" t="n">
        <f aca="false">'Citrus DCF'!K20*'Unlev. Consolid'!$B$47</f>
        <v>0</v>
      </c>
      <c r="M47" s="192" t="n">
        <f aca="false">'Citrus DCF'!L20*'Unlev. Consolid'!$B$47</f>
        <v>0</v>
      </c>
      <c r="N47" s="192" t="n">
        <f aca="false">'Citrus DCF'!M20*'Unlev. Consolid'!$B$47</f>
        <v>0</v>
      </c>
      <c r="O47" s="192" t="n">
        <f aca="false">'Citrus DCF'!N20*'Unlev. Consolid'!$B$47</f>
        <v>0</v>
      </c>
      <c r="P47" s="192" t="n">
        <f aca="false">'Citrus DCF'!O20*'Unlev. Consolid'!$B$47</f>
        <v>0</v>
      </c>
      <c r="Q47" s="192" t="n">
        <f aca="false">'Citrus DCF'!P20*'Unlev. Consolid'!$B$47</f>
        <v>0</v>
      </c>
      <c r="R47" s="192" t="n">
        <f aca="false">'Citrus DCF'!Q20*'Unlev. Consolid'!$B$47</f>
        <v>0</v>
      </c>
    </row>
    <row r="48" customFormat="false" ht="12.75" hidden="true" customHeight="false" outlineLevel="1" collapsed="false">
      <c r="A48" s="318" t="str">
        <f aca="false">A40</f>
        <v>Trailblazer</v>
      </c>
      <c r="B48" s="319" t="n">
        <f aca="false">B40</f>
        <v>1</v>
      </c>
      <c r="C48" s="16"/>
      <c r="D48" s="16"/>
      <c r="E48" s="317" t="n">
        <f aca="false">'Trailblazer DCF'!E20</f>
        <v>0</v>
      </c>
      <c r="F48" s="317" t="n">
        <f aca="false">'Trailblazer DCF'!F20</f>
        <v>0</v>
      </c>
      <c r="G48" s="317" t="n">
        <f aca="false">'Trailblazer DCF'!G20</f>
        <v>0</v>
      </c>
      <c r="H48" s="192" t="n">
        <f aca="false">'Trailblazer DCF'!H20</f>
        <v>0</v>
      </c>
      <c r="I48" s="192" t="n">
        <f aca="false">'Trailblazer DCF'!I20</f>
        <v>0</v>
      </c>
      <c r="J48" s="192" t="n">
        <f aca="false">'Trailblazer DCF'!J20</f>
        <v>0</v>
      </c>
      <c r="K48" s="192" t="n">
        <f aca="false">'Trailblazer DCF'!K20</f>
        <v>0</v>
      </c>
      <c r="L48" s="192" t="n">
        <f aca="false">'Trailblazer DCF'!L20</f>
        <v>0</v>
      </c>
      <c r="M48" s="192" t="n">
        <f aca="false">'Trailblazer DCF'!M20</f>
        <v>0</v>
      </c>
      <c r="N48" s="192" t="n">
        <f aca="false">'Trailblazer DCF'!N20</f>
        <v>0</v>
      </c>
      <c r="O48" s="192" t="n">
        <f aca="false">'Trailblazer DCF'!O20</f>
        <v>0</v>
      </c>
      <c r="P48" s="192" t="n">
        <f aca="false">'Trailblazer DCF'!P20</f>
        <v>0</v>
      </c>
      <c r="Q48" s="192" t="n">
        <f aca="false">'Trailblazer DCF'!Q20</f>
        <v>0</v>
      </c>
      <c r="R48" s="192" t="n">
        <f aca="false">'Trailblazer DCF'!R20</f>
        <v>0</v>
      </c>
    </row>
    <row r="49" customFormat="false" ht="12.75" hidden="true" customHeight="false" outlineLevel="1" collapsed="false">
      <c r="A49" s="328" t="s">
        <v>169</v>
      </c>
      <c r="B49" s="16"/>
      <c r="C49" s="16"/>
      <c r="D49" s="16"/>
      <c r="E49" s="317" t="n">
        <f aca="false">SUM(E44:E48)</f>
        <v>88289</v>
      </c>
      <c r="F49" s="317" t="n">
        <f aca="false">SUM(F44:F48)</f>
        <v>82538</v>
      </c>
      <c r="G49" s="317" t="n">
        <f aca="false">SUM(G44:G48)</f>
        <v>120236</v>
      </c>
      <c r="H49" s="192" t="n">
        <f aca="false">SUM(H44:H48)</f>
        <v>0</v>
      </c>
      <c r="I49" s="192" t="n">
        <f aca="false">SUM(I44:I48)</f>
        <v>0</v>
      </c>
      <c r="J49" s="192" t="n">
        <f aca="false">SUM(J44:J48)</f>
        <v>0</v>
      </c>
      <c r="K49" s="192" t="n">
        <f aca="false">SUM(K44:K48)</f>
        <v>0</v>
      </c>
      <c r="L49" s="192" t="n">
        <f aca="false">SUM(L44:L48)</f>
        <v>0</v>
      </c>
      <c r="M49" s="192" t="n">
        <f aca="false">SUM(M44:M48)</f>
        <v>0</v>
      </c>
      <c r="N49" s="192" t="n">
        <f aca="false">SUM(N44:N48)</f>
        <v>0</v>
      </c>
      <c r="O49" s="192" t="n">
        <f aca="false">SUM(O44:O48)</f>
        <v>0</v>
      </c>
      <c r="P49" s="192" t="n">
        <f aca="false">SUM(P44:P48)</f>
        <v>0</v>
      </c>
      <c r="Q49" s="192" t="n">
        <f aca="false">SUM(Q44:Q48)</f>
        <v>0</v>
      </c>
      <c r="R49" s="192" t="n">
        <f aca="false">SUM(R44:R48)</f>
        <v>0</v>
      </c>
    </row>
    <row r="50" customFormat="false" ht="12.75" hidden="true" customHeight="false" outlineLevel="1" collapsed="false">
      <c r="A50" s="328"/>
      <c r="B50" s="16"/>
      <c r="C50" s="16"/>
      <c r="D50" s="16"/>
      <c r="E50" s="317"/>
      <c r="F50" s="317"/>
      <c r="G50" s="317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customFormat="false" ht="12.75" hidden="true" customHeight="false" outlineLevel="1" collapsed="false">
      <c r="A51" s="329" t="s">
        <v>170</v>
      </c>
      <c r="B51" s="16"/>
      <c r="C51" s="16"/>
      <c r="D51" s="16"/>
      <c r="E51" s="317"/>
      <c r="F51" s="317"/>
      <c r="G51" s="317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customFormat="false" ht="12.75" hidden="true" customHeight="false" outlineLevel="2" collapsed="false">
      <c r="A52" s="126" t="str">
        <f aca="false">A44</f>
        <v>Northern Natural</v>
      </c>
      <c r="B52" s="16"/>
      <c r="C52" s="16"/>
      <c r="D52" s="16"/>
      <c r="E52" s="317" t="n">
        <f aca="false">'Northern Natural DCF'!E21</f>
        <v>81343</v>
      </c>
      <c r="F52" s="317" t="n">
        <f aca="false">'Northern Natural DCF'!F21</f>
        <v>40395</v>
      </c>
      <c r="G52" s="317" t="n">
        <f aca="false">'Northern Natural DCF'!G21</f>
        <v>50691</v>
      </c>
      <c r="H52" s="192" t="n">
        <f aca="false">'Northern Natural DCF'!H21</f>
        <v>61579</v>
      </c>
      <c r="I52" s="192" t="n">
        <f aca="false">'Northern Natural DCF'!I21</f>
        <v>66773</v>
      </c>
      <c r="J52" s="192" t="n">
        <f aca="false">'Northern Natural DCF'!J21</f>
        <v>53343.03</v>
      </c>
      <c r="K52" s="192" t="n">
        <f aca="false">'Northern Natural DCF'!K21</f>
        <v>54805.53</v>
      </c>
      <c r="L52" s="192" t="n">
        <f aca="false">'Northern Natural DCF'!L21</f>
        <v>56268.03</v>
      </c>
      <c r="M52" s="192" t="n">
        <f aca="false">'Northern Natural DCF'!M21</f>
        <v>57730.53</v>
      </c>
      <c r="N52" s="192" t="n">
        <f aca="false">'Northern Natural DCF'!N21</f>
        <v>59193.03</v>
      </c>
      <c r="O52" s="192" t="n">
        <f aca="false">'Northern Natural DCF'!O21</f>
        <v>60655.53</v>
      </c>
      <c r="P52" s="192" t="n">
        <f aca="false">'Northern Natural DCF'!P21</f>
        <v>62118.03</v>
      </c>
      <c r="Q52" s="192" t="n">
        <f aca="false">'Northern Natural DCF'!Q21</f>
        <v>63580.53</v>
      </c>
      <c r="R52" s="192" t="n">
        <f aca="false">'Northern Natural DCF'!R21</f>
        <v>65043.03</v>
      </c>
    </row>
    <row r="53" customFormat="false" ht="12.75" hidden="true" customHeight="false" outlineLevel="2" collapsed="false">
      <c r="A53" s="126" t="str">
        <f aca="false">A45</f>
        <v>Transwestern</v>
      </c>
      <c r="B53" s="16"/>
      <c r="C53" s="16"/>
      <c r="D53" s="16"/>
      <c r="E53" s="317" t="n">
        <f aca="false">'Transwestern DCF'!E21</f>
        <v>23137</v>
      </c>
      <c r="F53" s="317" t="n">
        <f aca="false">'Transwestern DCF'!F21</f>
        <v>23733</v>
      </c>
      <c r="G53" s="317" t="n">
        <f aca="false">'Transwestern DCF'!G21</f>
        <v>24407</v>
      </c>
      <c r="H53" s="192" t="n">
        <f aca="false">'Transwestern DCF'!H21</f>
        <v>28786</v>
      </c>
      <c r="I53" s="192" t="n">
        <f aca="false">'Transwestern DCF'!I21</f>
        <v>29537.81</v>
      </c>
      <c r="J53" s="192" t="n">
        <f aca="false">'Transwestern DCF'!J21</f>
        <v>29658.81</v>
      </c>
      <c r="K53" s="192" t="n">
        <f aca="false">'Transwestern DCF'!K21</f>
        <v>29125.81</v>
      </c>
      <c r="L53" s="192" t="n">
        <f aca="false">'Transwestern DCF'!L21</f>
        <v>28625.81</v>
      </c>
      <c r="M53" s="192" t="n">
        <f aca="false">'Transwestern DCF'!M21</f>
        <v>23725.81</v>
      </c>
      <c r="N53" s="192" t="n">
        <f aca="false">'Transwestern DCF'!N21</f>
        <v>24025.81</v>
      </c>
      <c r="O53" s="192" t="n">
        <f aca="false">'Transwestern DCF'!O21</f>
        <v>24325.81</v>
      </c>
      <c r="P53" s="192" t="n">
        <f aca="false">'Transwestern DCF'!P21</f>
        <v>24625.81</v>
      </c>
      <c r="Q53" s="192" t="n">
        <f aca="false">'Transwestern DCF'!Q21</f>
        <v>24925.81</v>
      </c>
      <c r="R53" s="192" t="n">
        <f aca="false">'Transwestern DCF'!R21</f>
        <v>25225.81</v>
      </c>
    </row>
    <row r="54" customFormat="false" ht="12.75" hidden="true" customHeight="false" outlineLevel="2" collapsed="false">
      <c r="A54" s="126" t="str">
        <f aca="false">A46</f>
        <v>Northern Border Partners</v>
      </c>
      <c r="B54" s="16"/>
      <c r="C54" s="16"/>
      <c r="D54" s="16"/>
      <c r="E54" s="317" t="n">
        <f aca="false">'NBP DCF'!C20</f>
        <v>0</v>
      </c>
      <c r="F54" s="317" t="n">
        <f aca="false">'NBP DCF'!D20</f>
        <v>0</v>
      </c>
      <c r="G54" s="317" t="n">
        <f aca="false">'NBP DCF'!E20</f>
        <v>61054</v>
      </c>
      <c r="H54" s="192" t="n">
        <f aca="false">'NBP DCF'!F20</f>
        <v>55679.3775</v>
      </c>
      <c r="I54" s="192" t="n">
        <f aca="false">'NBP DCF'!G20</f>
        <v>56300.2425</v>
      </c>
      <c r="J54" s="192" t="n">
        <f aca="false">'NBP DCF'!H20</f>
        <v>58262.8275</v>
      </c>
      <c r="K54" s="192" t="n">
        <f aca="false">'NBP DCF'!I20</f>
        <v>60478.605</v>
      </c>
      <c r="L54" s="192" t="n">
        <f aca="false">'NBP DCF'!J20</f>
        <v>61820.3925</v>
      </c>
      <c r="M54" s="192" t="n">
        <f aca="false">'NBP DCF'!K20</f>
        <v>62741.745</v>
      </c>
      <c r="N54" s="192" t="n">
        <f aca="false">'NBP DCF'!L20</f>
        <v>63663.0975</v>
      </c>
      <c r="O54" s="192" t="n">
        <f aca="false">'NBP DCF'!M20</f>
        <v>64584.45</v>
      </c>
      <c r="P54" s="192" t="n">
        <f aca="false">'NBP DCF'!N20</f>
        <v>65505.8025</v>
      </c>
      <c r="Q54" s="192" t="n">
        <f aca="false">'NBP DCF'!O20</f>
        <v>66427.155</v>
      </c>
      <c r="R54" s="192" t="n">
        <f aca="false">'NBP DCF'!P20</f>
        <v>67348.5075</v>
      </c>
    </row>
    <row r="55" customFormat="false" ht="12.75" hidden="true" customHeight="false" outlineLevel="2" collapsed="false">
      <c r="A55" s="126" t="str">
        <f aca="false">A47</f>
        <v>Citrus</v>
      </c>
      <c r="B55" s="16"/>
      <c r="C55" s="16"/>
      <c r="D55" s="16"/>
      <c r="E55" s="317" t="n">
        <f aca="false">'Citrus DCF'!D21</f>
        <v>51771</v>
      </c>
      <c r="F55" s="317" t="n">
        <f aca="false">'Citrus DCF'!E21</f>
        <v>51234</v>
      </c>
      <c r="G55" s="317" t="n">
        <f aca="false">'Citrus DCF'!F21</f>
        <v>50439</v>
      </c>
      <c r="H55" s="192" t="n">
        <f aca="false">'Citrus DCF'!G21</f>
        <v>56268.96</v>
      </c>
      <c r="I55" s="192" t="n">
        <f aca="false">'Citrus DCF'!H21</f>
        <v>59573.025</v>
      </c>
      <c r="J55" s="192" t="n">
        <f aca="false">'Citrus DCF'!I21</f>
        <v>63894.18</v>
      </c>
      <c r="K55" s="192" t="n">
        <f aca="false">'Citrus DCF'!J21</f>
        <v>64723.59</v>
      </c>
      <c r="L55" s="192" t="n">
        <f aca="false">'Citrus DCF'!K21</f>
        <v>65112.735</v>
      </c>
      <c r="M55" s="192" t="n">
        <f aca="false">'Citrus DCF'!L21</f>
        <v>65501.88</v>
      </c>
      <c r="N55" s="192" t="n">
        <f aca="false">'Citrus DCF'!M21</f>
        <v>65891.025</v>
      </c>
      <c r="O55" s="192" t="n">
        <f aca="false">'Citrus DCF'!N21</f>
        <v>66280.17</v>
      </c>
      <c r="P55" s="192" t="n">
        <f aca="false">'Citrus DCF'!O21</f>
        <v>66669.315</v>
      </c>
      <c r="Q55" s="192" t="n">
        <f aca="false">'Citrus DCF'!P21</f>
        <v>67058.46</v>
      </c>
      <c r="R55" s="192" t="n">
        <f aca="false">'Citrus DCF'!Q21</f>
        <v>67447.605</v>
      </c>
    </row>
    <row r="56" customFormat="false" ht="12.75" hidden="true" customHeight="false" outlineLevel="2" collapsed="false">
      <c r="A56" s="126" t="str">
        <f aca="false">A48</f>
        <v>Trailblazer</v>
      </c>
      <c r="B56" s="16"/>
      <c r="C56" s="16"/>
      <c r="D56" s="16"/>
      <c r="E56" s="317" t="n">
        <f aca="false">'Trailblazer DCF'!E21</f>
        <v>16969.545</v>
      </c>
      <c r="F56" s="317" t="n">
        <f aca="false">'Trailblazer DCF'!F21</f>
        <v>16972.56</v>
      </c>
      <c r="G56" s="317" t="n">
        <f aca="false">'Trailblazer DCF'!G21</f>
        <v>10169.3</v>
      </c>
      <c r="H56" s="192" t="n">
        <f aca="false">'Trailblazer DCF'!H21</f>
        <v>10226.778516</v>
      </c>
      <c r="I56" s="192" t="n">
        <f aca="false">'Trailblazer DCF'!I21</f>
        <v>10231.8215359422</v>
      </c>
      <c r="J56" s="192" t="n">
        <f aca="false">'Trailblazer DCF'!J21</f>
        <v>10236.8645558844</v>
      </c>
      <c r="K56" s="192" t="n">
        <f aca="false">'Trailblazer DCF'!K21</f>
        <v>10241.9075758267</v>
      </c>
      <c r="L56" s="192" t="n">
        <f aca="false">'Trailblazer DCF'!L21</f>
        <v>10246.9505957689</v>
      </c>
      <c r="M56" s="192" t="n">
        <f aca="false">'Trailblazer DCF'!M21</f>
        <v>10251.9936157111</v>
      </c>
      <c r="N56" s="192" t="n">
        <f aca="false">'Trailblazer DCF'!N21</f>
        <v>10257.0366356533</v>
      </c>
      <c r="O56" s="192" t="n">
        <f aca="false">'Trailblazer DCF'!O21</f>
        <v>10262.0796555955</v>
      </c>
      <c r="P56" s="192" t="n">
        <f aca="false">'Trailblazer DCF'!P21</f>
        <v>10267.1226755378</v>
      </c>
      <c r="Q56" s="192" t="n">
        <f aca="false">'Trailblazer DCF'!Q21</f>
        <v>10272.16569548</v>
      </c>
      <c r="R56" s="192" t="n">
        <f aca="false">'Trailblazer DCF'!R21</f>
        <v>10277.2087154222</v>
      </c>
    </row>
    <row r="57" customFormat="false" ht="12.75" hidden="false" customHeight="false" outlineLevel="0" collapsed="true">
      <c r="A57" s="25" t="s">
        <v>171</v>
      </c>
      <c r="B57" s="331"/>
      <c r="C57" s="331"/>
      <c r="D57" s="16"/>
      <c r="E57" s="310" t="n">
        <f aca="false">SUM(E52:E56)</f>
        <v>173220.545</v>
      </c>
      <c r="F57" s="310" t="n">
        <f aca="false">SUM(F52:F56)</f>
        <v>132334.56</v>
      </c>
      <c r="G57" s="310" t="n">
        <f aca="false">SUM(G52:G56)</f>
        <v>196760.3</v>
      </c>
      <c r="H57" s="187" t="n">
        <f aca="false">SUM(H52:H56)</f>
        <v>212540.116016</v>
      </c>
      <c r="I57" s="187" t="n">
        <f aca="false">SUM(I52:I56)</f>
        <v>222415.899035942</v>
      </c>
      <c r="J57" s="187" t="n">
        <f aca="false">SUM(J52:J56)</f>
        <v>215395.712055884</v>
      </c>
      <c r="K57" s="187" t="n">
        <f aca="false">SUM(K52:K56)</f>
        <v>219375.442575827</v>
      </c>
      <c r="L57" s="187" t="n">
        <f aca="false">SUM(L52:L56)</f>
        <v>222073.918095769</v>
      </c>
      <c r="M57" s="187" t="n">
        <f aca="false">SUM(M52:M56)</f>
        <v>219951.958615711</v>
      </c>
      <c r="N57" s="187" t="n">
        <f aca="false">SUM(N52:N56)</f>
        <v>223029.999135653</v>
      </c>
      <c r="O57" s="187" t="n">
        <f aca="false">SUM(O52:O56)</f>
        <v>226108.039655596</v>
      </c>
      <c r="P57" s="187" t="n">
        <f aca="false">SUM(P52:P56)</f>
        <v>229186.080175538</v>
      </c>
      <c r="Q57" s="187" t="n">
        <f aca="false">SUM(Q52:Q56)</f>
        <v>232264.12069548</v>
      </c>
      <c r="R57" s="187" t="n">
        <f aca="false">SUM(R52:R56)</f>
        <v>235342.161215422</v>
      </c>
    </row>
    <row r="58" customFormat="false" ht="12.75" hidden="false" customHeight="false" outlineLevel="0" collapsed="false">
      <c r="A58" s="25"/>
      <c r="B58" s="331"/>
      <c r="C58" s="331"/>
      <c r="D58" s="16"/>
      <c r="E58" s="310"/>
      <c r="F58" s="310"/>
      <c r="G58" s="310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</row>
    <row r="59" customFormat="false" ht="12.75" hidden="false" customHeight="false" outlineLevel="1" collapsed="false">
      <c r="A59" s="126" t="str">
        <f aca="false">A52</f>
        <v>Northern Natural</v>
      </c>
      <c r="B59" s="331"/>
      <c r="C59" s="331"/>
      <c r="D59" s="16"/>
      <c r="E59" s="310" t="n">
        <f aca="false">E27+E36+E44-E52</f>
        <v>221847</v>
      </c>
      <c r="F59" s="310" t="n">
        <f aca="false">F27+F36+F44-F52</f>
        <v>235237</v>
      </c>
      <c r="G59" s="310" t="n">
        <f aca="false">G27+G36+G44-G52</f>
        <v>261593</v>
      </c>
      <c r="H59" s="187" t="n">
        <f aca="false">H27+H36+H44-H52</f>
        <v>196035</v>
      </c>
      <c r="I59" s="187" t="n">
        <f aca="false">I27+I36+I44-I52</f>
        <v>195768</v>
      </c>
      <c r="J59" s="187" t="n">
        <f aca="false">J27+J36+J44-J52</f>
        <v>221145.764685315</v>
      </c>
      <c r="K59" s="187" t="n">
        <f aca="false">K27+K36+K44-K52</f>
        <v>231860.167885315</v>
      </c>
      <c r="L59" s="187" t="n">
        <f aca="false">L27+L36+L44-L52</f>
        <v>239602.253149315</v>
      </c>
      <c r="M59" s="187" t="n">
        <f aca="false">M27+M36+M44-M52</f>
        <v>248200.930118595</v>
      </c>
      <c r="N59" s="187" t="n">
        <f aca="false">N27+N36+N44-N52</f>
        <v>257021.00562726</v>
      </c>
      <c r="O59" s="187" t="n">
        <f aca="false">O27+O36+O44-O52</f>
        <v>266067.916396099</v>
      </c>
      <c r="P59" s="187" t="n">
        <f aca="false">P27+P36+P44-P52</f>
        <v>275347.258317815</v>
      </c>
      <c r="Q59" s="187" t="n">
        <f aca="false">Q27+Q36+Q44-Q52</f>
        <v>284864.79216234</v>
      </c>
      <c r="R59" s="187" t="n">
        <f aca="false">R27+R36+R44-R52</f>
        <v>294626.449522349</v>
      </c>
    </row>
    <row r="60" customFormat="false" ht="12.75" hidden="false" customHeight="false" outlineLevel="1" collapsed="false">
      <c r="A60" s="126" t="str">
        <f aca="false">A53</f>
        <v>Transwestern</v>
      </c>
      <c r="B60" s="331"/>
      <c r="C60" s="331"/>
      <c r="D60" s="16"/>
      <c r="E60" s="310" t="n">
        <f aca="false">E28+E37+E45-E53</f>
        <v>114995</v>
      </c>
      <c r="F60" s="310" t="n">
        <f aca="false">F28+F37+F45-F53</f>
        <v>103486</v>
      </c>
      <c r="G60" s="310" t="n">
        <f aca="false">G28+G37+G45-G53</f>
        <v>125495</v>
      </c>
      <c r="H60" s="187" t="n">
        <f aca="false">H28+H37+H45-H53</f>
        <v>127961</v>
      </c>
      <c r="I60" s="187" t="n">
        <f aca="false">I28+I37+I45-I53</f>
        <v>121056.19</v>
      </c>
      <c r="J60" s="187" t="n">
        <f aca="false">J28+J37+J45-J53</f>
        <v>136992.17</v>
      </c>
      <c r="K60" s="187" t="n">
        <f aca="false">K28+K37+K45-K53</f>
        <v>148156.6062</v>
      </c>
      <c r="L60" s="187" t="n">
        <f aca="false">L28+L37+L45-L53</f>
        <v>159807.089698</v>
      </c>
      <c r="M60" s="187" t="n">
        <f aca="false">M28+M37+M45-M53</f>
        <v>176416.32187842</v>
      </c>
      <c r="N60" s="187" t="n">
        <f aca="false">N28+N37+N45-N53</f>
        <v>177892.330961716</v>
      </c>
      <c r="O60" s="187" t="n">
        <f aca="false">O28+O37+O45-O53</f>
        <v>179457.140499177</v>
      </c>
      <c r="P60" s="187" t="n">
        <f aca="false">P28+P37+P45-P53</f>
        <v>181115.190513511</v>
      </c>
      <c r="Q60" s="187" t="n">
        <f aca="false">Q28+Q37+Q45-Q53</f>
        <v>180832.511477573</v>
      </c>
      <c r="R60" s="187" t="n">
        <f aca="false">R28+R37+R45-R53</f>
        <v>180550.698489839</v>
      </c>
    </row>
    <row r="61" customFormat="false" ht="12.75" hidden="false" customHeight="false" outlineLevel="1" collapsed="false">
      <c r="A61" s="126" t="str">
        <f aca="false">A54</f>
        <v>Northern Border Partners</v>
      </c>
      <c r="B61" s="331"/>
      <c r="C61" s="331"/>
      <c r="D61" s="16"/>
      <c r="E61" s="310" t="n">
        <f aca="false">E29+E38+E46-E54</f>
        <v>0</v>
      </c>
      <c r="F61" s="310" t="n">
        <f aca="false">F29+F38+F46-F54</f>
        <v>0</v>
      </c>
      <c r="G61" s="310" t="n">
        <f aca="false">G29+G38+G46-G54</f>
        <v>234098</v>
      </c>
      <c r="H61" s="187" t="n">
        <f aca="false">H29+H38+H46-H54</f>
        <v>253650.6225</v>
      </c>
      <c r="I61" s="187" t="n">
        <f aca="false">I29+I38+I46-I54</f>
        <v>285812.7575</v>
      </c>
      <c r="J61" s="187" t="n">
        <f aca="false">J29+J38+J46-J54</f>
        <v>288785.1725</v>
      </c>
      <c r="K61" s="187" t="n">
        <f aca="false">K29+K38+K46-K54</f>
        <v>299629.395</v>
      </c>
      <c r="L61" s="187" t="n">
        <f aca="false">L29+L38+L46-L54</f>
        <v>303575.6075</v>
      </c>
      <c r="M61" s="187" t="n">
        <f aca="false">M29+M38+M46-M54</f>
        <v>302654.255</v>
      </c>
      <c r="N61" s="187" t="n">
        <f aca="false">N29+N38+N46-N54</f>
        <v>301732.9025</v>
      </c>
      <c r="O61" s="187" t="n">
        <f aca="false">O29+O38+O46-O54</f>
        <v>300811.55</v>
      </c>
      <c r="P61" s="187" t="n">
        <f aca="false">P29+P38+P46-P54</f>
        <v>299890.1975</v>
      </c>
      <c r="Q61" s="187" t="n">
        <f aca="false">Q29+Q38+Q46-Q54</f>
        <v>298968.845</v>
      </c>
      <c r="R61" s="187" t="n">
        <f aca="false">R29+R38+R46-R54</f>
        <v>298047.4925</v>
      </c>
    </row>
    <row r="62" customFormat="false" ht="12.75" hidden="false" customHeight="false" outlineLevel="1" collapsed="false">
      <c r="A62" s="126" t="str">
        <f aca="false">A55</f>
        <v>Citrus</v>
      </c>
      <c r="B62" s="331"/>
      <c r="C62" s="331"/>
      <c r="D62" s="16"/>
      <c r="E62" s="310" t="n">
        <f aca="false">E30+E39+E47-E55</f>
        <v>251278</v>
      </c>
      <c r="F62" s="310" t="n">
        <f aca="false">F30+F39+F47-F55</f>
        <v>246712</v>
      </c>
      <c r="G62" s="310" t="n">
        <f aca="false">G30+G39+G47-G55</f>
        <v>270215</v>
      </c>
      <c r="H62" s="187" t="n">
        <f aca="false">H30+H39+H47-H55</f>
        <v>225791.04</v>
      </c>
      <c r="I62" s="187" t="n">
        <f aca="false">I30+I39+I47-I55</f>
        <v>261072.975</v>
      </c>
      <c r="J62" s="187" t="n">
        <f aca="false">J30+J39+J47-J55</f>
        <v>271592.82</v>
      </c>
      <c r="K62" s="187" t="n">
        <f aca="false">K30+K39+K47-K55</f>
        <v>261996.41</v>
      </c>
      <c r="L62" s="187" t="n">
        <f aca="false">L30+L39+L47-L55</f>
        <v>257054.265</v>
      </c>
      <c r="M62" s="187" t="n">
        <f aca="false">M30+M39+M47-M55</f>
        <v>256665.12</v>
      </c>
      <c r="N62" s="187" t="n">
        <f aca="false">N30+N39+N47-N55</f>
        <v>256275.975</v>
      </c>
      <c r="O62" s="187" t="n">
        <f aca="false">O30+O39+O47-O55</f>
        <v>255886.83</v>
      </c>
      <c r="P62" s="187" t="n">
        <f aca="false">P30+P39+P47-P55</f>
        <v>255497.685</v>
      </c>
      <c r="Q62" s="187" t="n">
        <f aca="false">Q30+Q39+Q47-Q55</f>
        <v>255108.54</v>
      </c>
      <c r="R62" s="187" t="n">
        <f aca="false">R30+R39+R47-R55</f>
        <v>254719.395</v>
      </c>
    </row>
    <row r="63" customFormat="false" ht="12.75" hidden="false" customHeight="false" outlineLevel="1" collapsed="false">
      <c r="A63" s="126" t="str">
        <f aca="false">A56</f>
        <v>Trailblazer</v>
      </c>
      <c r="B63" s="332"/>
      <c r="C63" s="332"/>
      <c r="D63" s="75"/>
      <c r="E63" s="333" t="n">
        <f aca="false">E31+E40+E48-E56</f>
        <v>21969.921</v>
      </c>
      <c r="F63" s="333" t="n">
        <f aca="false">F31+F40+F48-F56</f>
        <v>14011.18</v>
      </c>
      <c r="G63" s="333" t="n">
        <f aca="false">G31+G40+G48-G56</f>
        <v>15736.958</v>
      </c>
      <c r="H63" s="241" t="n">
        <f aca="false">H31+H40+H48-H56</f>
        <v>14251.9360796992</v>
      </c>
      <c r="I63" s="241" t="n">
        <f aca="false">I31+I40+I48-I56</f>
        <v>14246.893059757</v>
      </c>
      <c r="J63" s="241" t="n">
        <f aca="false">J31+J40+J48-J56</f>
        <v>14241.8500398148</v>
      </c>
      <c r="K63" s="241" t="n">
        <f aca="false">K31+K40+K48-K56</f>
        <v>14236.8070198725</v>
      </c>
      <c r="L63" s="241" t="n">
        <f aca="false">L31+L40+L48-L56</f>
        <v>14231.7639999303</v>
      </c>
      <c r="M63" s="241" t="n">
        <f aca="false">M31+M40+M48-M56</f>
        <v>14226.7209799881</v>
      </c>
      <c r="N63" s="241" t="n">
        <f aca="false">N31+N40+N48-N56</f>
        <v>14221.6779600459</v>
      </c>
      <c r="O63" s="241" t="n">
        <f aca="false">O31+O40+O48-O56</f>
        <v>14216.6349401037</v>
      </c>
      <c r="P63" s="241" t="n">
        <f aca="false">P31+P40+P48-P56</f>
        <v>14211.5919201615</v>
      </c>
      <c r="Q63" s="241" t="n">
        <f aca="false">Q31+Q40+Q48-Q56</f>
        <v>14206.5489002192</v>
      </c>
      <c r="R63" s="241" t="n">
        <f aca="false">R31+R40+R48-R56</f>
        <v>14201.505880277</v>
      </c>
    </row>
    <row r="64" customFormat="false" ht="12.75" hidden="false" customHeight="false" outlineLevel="0" collapsed="false">
      <c r="A64" s="311" t="s">
        <v>172</v>
      </c>
      <c r="B64" s="197"/>
      <c r="C64" s="197"/>
      <c r="D64" s="197"/>
      <c r="E64" s="334" t="n">
        <f aca="false">E32+E41+E49-E57</f>
        <v>610089.921</v>
      </c>
      <c r="F64" s="334" t="n">
        <f aca="false">F32+F41+F49-F57</f>
        <v>599446.18</v>
      </c>
      <c r="G64" s="334" t="n">
        <f aca="false">G32+G41+G49-G57</f>
        <v>907137.958</v>
      </c>
      <c r="H64" s="335" t="n">
        <f aca="false">H32+H41+H49-H57</f>
        <v>817689.598579699</v>
      </c>
      <c r="I64" s="335" t="n">
        <f aca="false">I32+I41+I49-I57</f>
        <v>877956.815559757</v>
      </c>
      <c r="J64" s="335" t="n">
        <f aca="false">J32+J41+J49-J57</f>
        <v>932757.77722513</v>
      </c>
      <c r="K64" s="335" t="n">
        <f aca="false">K32+K41+K49-K57</f>
        <v>955879.386105187</v>
      </c>
      <c r="L64" s="335" t="n">
        <f aca="false">L32+L41+L49-L57</f>
        <v>974270.979347245</v>
      </c>
      <c r="M64" s="335" t="n">
        <f aca="false">M32+M41+M49-M57</f>
        <v>998163.347977003</v>
      </c>
      <c r="N64" s="335" t="n">
        <f aca="false">N32+N41+N49-N57</f>
        <v>1007143.89204902</v>
      </c>
      <c r="O64" s="335" t="n">
        <f aca="false">O32+O41+O49-O57</f>
        <v>1016440.07183538</v>
      </c>
      <c r="P64" s="335" t="n">
        <f aca="false">P32+P41+P49-P57</f>
        <v>1026061.92325149</v>
      </c>
      <c r="Q64" s="335" t="n">
        <f aca="false">Q32+Q41+Q49-Q57</f>
        <v>1033981.23754013</v>
      </c>
      <c r="R64" s="335" t="n">
        <f aca="false">R32+R41+R49-R57</f>
        <v>1042145.54139247</v>
      </c>
    </row>
    <row r="65" customFormat="false" ht="12.75" hidden="false" customHeight="false" outlineLevel="0" collapsed="false">
      <c r="A65" s="16"/>
      <c r="E65" s="307"/>
      <c r="F65" s="336"/>
      <c r="G65" s="336"/>
      <c r="H65" s="337"/>
      <c r="I65" s="337"/>
      <c r="J65" s="337"/>
      <c r="K65" s="337"/>
      <c r="L65" s="337"/>
      <c r="M65" s="337"/>
      <c r="N65" s="337"/>
      <c r="O65" s="337"/>
      <c r="P65" s="337"/>
      <c r="Q65" s="337"/>
      <c r="R65" s="337"/>
    </row>
    <row r="66" customFormat="false" ht="12.75" hidden="true" customHeight="false" outlineLevel="1" collapsed="false">
      <c r="A66" s="318" t="str">
        <f aca="false">A59</f>
        <v>Northern Natural</v>
      </c>
      <c r="E66" s="317" t="n">
        <f aca="false">'Northern Natural DCF'!E26</f>
        <v>54094.04</v>
      </c>
      <c r="F66" s="317" t="n">
        <f aca="false">'Northern Natural DCF'!F26</f>
        <v>75014.17</v>
      </c>
      <c r="G66" s="317" t="n">
        <f aca="false">'Northern Natural DCF'!G26</f>
        <v>81197.27</v>
      </c>
      <c r="H66" s="192" t="n">
        <f aca="false">'Northern Natural DCF'!H26</f>
        <v>45069.58225</v>
      </c>
      <c r="I66" s="192" t="n">
        <f aca="false">'Northern Natural DCF'!I26</f>
        <v>44077.931975</v>
      </c>
      <c r="J66" s="192" t="n">
        <f aca="false">'Northern Natural DCF'!J26</f>
        <v>56019.0385313462</v>
      </c>
      <c r="K66" s="192" t="n">
        <f aca="false">'Northern Natural DCF'!K26</f>
        <v>58279.5899783462</v>
      </c>
      <c r="L66" s="192" t="n">
        <f aca="false">'Northern Natural DCF'!L26</f>
        <v>70866.1307389862</v>
      </c>
      <c r="M66" s="192" t="n">
        <f aca="false">'Northern Natural DCF'!M26</f>
        <v>73372.305436659</v>
      </c>
      <c r="N66" s="192" t="n">
        <f aca="false">'Northern Natural DCF'!N26</f>
        <v>76025.9928609952</v>
      </c>
      <c r="O66" s="192" t="n">
        <f aca="false">'Northern Natural DCF'!O26</f>
        <v>78719.9121924982</v>
      </c>
      <c r="P66" s="192" t="n">
        <f aca="false">'Northern Natural DCF'!P26</f>
        <v>91984.1779078588</v>
      </c>
      <c r="Q66" s="192" t="n">
        <f aca="false">'Northern Natural DCF'!Q26</f>
        <v>94734.1499190009</v>
      </c>
      <c r="R66" s="192" t="n">
        <f aca="false">'Northern Natural DCF'!R26</f>
        <v>97576.0107716044</v>
      </c>
    </row>
    <row r="67" customFormat="false" ht="12.75" hidden="true" customHeight="false" outlineLevel="1" collapsed="false">
      <c r="A67" s="318" t="str">
        <f aca="false">A60</f>
        <v>Transwestern</v>
      </c>
      <c r="E67" s="317" t="n">
        <f aca="false">'Transwestern DCF'!E26</f>
        <v>39819.2025</v>
      </c>
      <c r="F67" s="317" t="n">
        <f aca="false">'Transwestern DCF'!F26</f>
        <v>35273.5075</v>
      </c>
      <c r="G67" s="317" t="n">
        <f aca="false">'Transwestern DCF'!G26</f>
        <v>43617.2275</v>
      </c>
      <c r="H67" s="192" t="n">
        <f aca="false">'Transwestern DCF'!H26</f>
        <v>46477.509925</v>
      </c>
      <c r="I67" s="192" t="n">
        <f aca="false">'Transwestern DCF'!I26</f>
        <v>40385.466275</v>
      </c>
      <c r="J67" s="192" t="n">
        <f aca="false">'Transwestern DCF'!J26</f>
        <v>44313.6099175</v>
      </c>
      <c r="K67" s="192" t="n">
        <f aca="false">'Transwestern DCF'!K26</f>
        <v>47303.7509945</v>
      </c>
      <c r="L67" s="192" t="n">
        <f aca="false">'Transwestern DCF'!L26</f>
        <v>55200.59121423</v>
      </c>
      <c r="M67" s="192" t="n">
        <f aca="false">'Transwestern DCF'!M26</f>
        <v>59532.7589311917</v>
      </c>
      <c r="N67" s="192" t="n">
        <f aca="false">'Transwestern DCF'!N26</f>
        <v>60026.7277077607</v>
      </c>
      <c r="O67" s="192" t="n">
        <f aca="false">'Transwestern DCF'!O26</f>
        <v>60463.0697821831</v>
      </c>
      <c r="P67" s="192" t="n">
        <f aca="false">'Transwestern DCF'!P26</f>
        <v>64614.4420512016</v>
      </c>
      <c r="Q67" s="192" t="n">
        <f aca="false">'Transwestern DCF'!Q26</f>
        <v>64165.3262163657</v>
      </c>
      <c r="R67" s="192" t="n">
        <f aca="false">'Transwestern DCF'!R26</f>
        <v>63717.148722088</v>
      </c>
    </row>
    <row r="68" customFormat="false" ht="12.75" hidden="true" customHeight="false" outlineLevel="1" collapsed="false">
      <c r="A68" s="318" t="str">
        <f aca="false">A61</f>
        <v>Northern Border Partners</v>
      </c>
      <c r="E68" s="317" t="n">
        <f aca="false">'NBP DCF'!C24</f>
        <v>0</v>
      </c>
      <c r="F68" s="317" t="n">
        <f aca="false">'NBP DCF'!D24</f>
        <v>0</v>
      </c>
      <c r="G68" s="317" t="n">
        <f aca="false">'NBP DCF'!E24</f>
        <v>113633.52</v>
      </c>
      <c r="H68" s="192" t="n">
        <f aca="false">'NBP DCF'!F24</f>
        <v>80906.68355</v>
      </c>
      <c r="I68" s="192" t="n">
        <f aca="false">'NBP DCF'!G24</f>
        <v>92655.287725</v>
      </c>
      <c r="J68" s="192" t="n">
        <f aca="false">'NBP DCF'!H24</f>
        <v>92470.2257325</v>
      </c>
      <c r="K68" s="192" t="n">
        <f aca="false">'NBP DCF'!I24</f>
        <v>94256.87656</v>
      </c>
      <c r="L68" s="192" t="n">
        <f aca="false">'NBP DCF'!J24</f>
        <v>103357.8617995</v>
      </c>
      <c r="M68" s="192" t="n">
        <f aca="false">'NBP DCF'!K24</f>
        <v>102317.00171</v>
      </c>
      <c r="N68" s="192" t="n">
        <f aca="false">'NBP DCF'!L24</f>
        <v>101717.6824125</v>
      </c>
      <c r="O68" s="192" t="n">
        <f aca="false">'NBP DCF'!M24</f>
        <v>101126.972485</v>
      </c>
      <c r="P68" s="192" t="n">
        <f aca="false">'NBP DCF'!N24</f>
        <v>109916.723917</v>
      </c>
      <c r="Q68" s="192" t="n">
        <f aca="false">'NBP DCF'!O24</f>
        <v>109109.7149065</v>
      </c>
      <c r="R68" s="192" t="n">
        <f aca="false">'NBP DCF'!P24</f>
        <v>108200.243844</v>
      </c>
    </row>
    <row r="69" customFormat="false" ht="12.75" hidden="true" customHeight="false" outlineLevel="1" collapsed="false">
      <c r="A69" s="318" t="str">
        <f aca="false">A62</f>
        <v>Citrus</v>
      </c>
      <c r="E69" s="317" t="n">
        <f aca="false">'Citrus DCF'!D26</f>
        <v>48691.335</v>
      </c>
      <c r="F69" s="317" t="n">
        <f aca="false">'Citrus DCF'!E26</f>
        <v>51154.95</v>
      </c>
      <c r="G69" s="317" t="n">
        <f aca="false">'Citrus DCF'!F26</f>
        <v>60221.7</v>
      </c>
      <c r="H69" s="192" t="n">
        <f aca="false">'Citrus DCF'!G26</f>
        <v>36381.268</v>
      </c>
      <c r="I69" s="192" t="n">
        <f aca="false">'Citrus DCF'!H26</f>
        <v>42733.39455</v>
      </c>
      <c r="J69" s="192" t="n">
        <f aca="false">'Citrus DCF'!I26</f>
        <v>53480.498995</v>
      </c>
      <c r="K69" s="192" t="n">
        <f aca="false">'Citrus DCF'!J26</f>
        <v>45660.7853625</v>
      </c>
      <c r="L69" s="192" t="n">
        <f aca="false">'Citrus DCF'!K26</f>
        <v>58449.4536395</v>
      </c>
      <c r="M69" s="192" t="n">
        <f aca="false">'Citrus DCF'!L26</f>
        <v>59961.7264015</v>
      </c>
      <c r="N69" s="192" t="n">
        <f aca="false">'Citrus DCF'!M26</f>
        <v>61048.9714835</v>
      </c>
      <c r="O69" s="192" t="n">
        <f aca="false">'Citrus DCF'!N26</f>
        <v>61500.032132</v>
      </c>
      <c r="P69" s="192" t="n">
        <f aca="false">'Citrus DCF'!O26</f>
        <v>74808.378953</v>
      </c>
      <c r="Q69" s="192" t="n">
        <f aca="false">'Citrus DCF'!P26</f>
        <v>74257.367646</v>
      </c>
      <c r="R69" s="192" t="n">
        <f aca="false">'Citrus DCF'!Q26</f>
        <v>73655.987944</v>
      </c>
    </row>
    <row r="70" customFormat="false" ht="15" hidden="true" customHeight="false" outlineLevel="1" collapsed="false">
      <c r="A70" s="318" t="str">
        <f aca="false">A63</f>
        <v>Trailblazer</v>
      </c>
      <c r="E70" s="338" t="n">
        <f aca="false">'Trailblazer DCF'!E26</f>
        <v>1925.14476</v>
      </c>
      <c r="F70" s="338" t="n">
        <f aca="false">'Trailblazer DCF'!F26</f>
        <v>-1140.1313</v>
      </c>
      <c r="G70" s="338" t="n">
        <f aca="false">'Trailblazer DCF'!G26</f>
        <v>2143.54833</v>
      </c>
      <c r="H70" s="339" t="n">
        <f aca="false">'Trailblazer DCF'!H26</f>
        <v>3955.81938509419</v>
      </c>
      <c r="I70" s="339" t="n">
        <f aca="false">'Trailblazer DCF'!I26</f>
        <v>3950.28320276398</v>
      </c>
      <c r="J70" s="339" t="n">
        <f aca="false">'Trailblazer DCF'!J26</f>
        <v>3945.75909883657</v>
      </c>
      <c r="K70" s="339" t="n">
        <f aca="false">'Trailblazer DCF'!K26</f>
        <v>5034.75038207691</v>
      </c>
      <c r="L70" s="339" t="n">
        <f aca="false">'Trailblazer DCF'!L26</f>
        <v>5031.08347678838</v>
      </c>
      <c r="M70" s="339" t="n">
        <f aca="false">'Trailblazer DCF'!M26</f>
        <v>5027.7876791337</v>
      </c>
      <c r="N70" s="339" t="n">
        <f aca="false">'Trailblazer DCF'!N26</f>
        <v>5024.63593200525</v>
      </c>
      <c r="O70" s="339" t="n">
        <f aca="false">'Trailblazer DCF'!O26</f>
        <v>5021.4539265056</v>
      </c>
      <c r="P70" s="339" t="n">
        <f aca="false">'Trailblazer DCF'!P26</f>
        <v>6111.33174270595</v>
      </c>
      <c r="Q70" s="339" t="n">
        <f aca="false">'Trailblazer DCF'!Q26</f>
        <v>6108.15065412663</v>
      </c>
      <c r="R70" s="339" t="n">
        <f aca="false">'Trailblazer DCF'!R26</f>
        <v>6104.96233847698</v>
      </c>
    </row>
    <row r="71" customFormat="false" ht="12.75" hidden="true" customHeight="false" outlineLevel="1" collapsed="false">
      <c r="A71" s="187" t="s">
        <v>173</v>
      </c>
      <c r="E71" s="317" t="n">
        <f aca="false">SUM(E66:E70)</f>
        <v>144529.72226</v>
      </c>
      <c r="F71" s="317" t="n">
        <f aca="false">SUM(F66:F70)</f>
        <v>160302.4962</v>
      </c>
      <c r="G71" s="317" t="n">
        <f aca="false">SUM(G66:G70)</f>
        <v>300813.26583</v>
      </c>
      <c r="H71" s="192" t="n">
        <f aca="false">SUM(H66:H70)</f>
        <v>212790.863110094</v>
      </c>
      <c r="I71" s="192" t="n">
        <f aca="false">SUM(I66:I70)</f>
        <v>223802.363727764</v>
      </c>
      <c r="J71" s="192" t="n">
        <f aca="false">SUM(J66:J70)</f>
        <v>250229.132275183</v>
      </c>
      <c r="K71" s="192" t="n">
        <f aca="false">SUM(K66:K70)</f>
        <v>250535.753277423</v>
      </c>
      <c r="L71" s="192" t="n">
        <f aca="false">SUM(L66:L70)</f>
        <v>292905.120869005</v>
      </c>
      <c r="M71" s="192" t="n">
        <f aca="false">SUM(M66:M70)</f>
        <v>300211.580158484</v>
      </c>
      <c r="N71" s="192" t="n">
        <f aca="false">SUM(N66:N70)</f>
        <v>303844.010396761</v>
      </c>
      <c r="O71" s="192" t="n">
        <f aca="false">SUM(O66:O70)</f>
        <v>306831.440518187</v>
      </c>
      <c r="P71" s="192" t="n">
        <f aca="false">SUM(P66:P70)</f>
        <v>347435.054571766</v>
      </c>
      <c r="Q71" s="192" t="n">
        <f aca="false">SUM(Q66:Q70)</f>
        <v>348374.709341993</v>
      </c>
      <c r="R71" s="192" t="n">
        <f aca="false">SUM(R66:R70)</f>
        <v>349254.353620169</v>
      </c>
    </row>
    <row r="72" customFormat="false" ht="12.75" hidden="true" customHeight="false" outlineLevel="1" collapsed="false">
      <c r="A72" s="318" t="str">
        <f aca="false">A66</f>
        <v>Northern Natural</v>
      </c>
      <c r="E72" s="317" t="n">
        <f aca="false">E78-E66</f>
        <v>31317.055</v>
      </c>
      <c r="F72" s="317" t="n">
        <f aca="false">F78-F66</f>
        <v>15552.075</v>
      </c>
      <c r="G72" s="317" t="n">
        <f aca="false">G78-G66</f>
        <v>19516.035</v>
      </c>
      <c r="H72" s="192" t="n">
        <f aca="false">H78-H66</f>
        <v>30403.89275</v>
      </c>
      <c r="I72" s="192" t="n">
        <f aca="false">I78-I66</f>
        <v>31292.748025</v>
      </c>
      <c r="J72" s="192" t="n">
        <f aca="false">J78-J66</f>
        <v>29122.0808725</v>
      </c>
      <c r="K72" s="192" t="n">
        <f aca="false">K78-K66</f>
        <v>30986.5746575</v>
      </c>
      <c r="L72" s="192" t="n">
        <f aca="false">L78-L66</f>
        <v>21380.7367235</v>
      </c>
      <c r="M72" s="192" t="n">
        <f aca="false">M78-M66</f>
        <v>22185.052659</v>
      </c>
      <c r="N72" s="192" t="n">
        <f aca="false">N78-N66</f>
        <v>22927.0943055</v>
      </c>
      <c r="O72" s="192" t="n">
        <f aca="false">O78-O66</f>
        <v>23716.23562</v>
      </c>
      <c r="P72" s="192" t="n">
        <f aca="false">P78-P66</f>
        <v>14024.5165445</v>
      </c>
      <c r="Q72" s="192" t="n">
        <f aca="false">Q78-Q66</f>
        <v>14938.7950635</v>
      </c>
      <c r="R72" s="192" t="n">
        <f aca="false">R78-R66</f>
        <v>15855.1722945</v>
      </c>
    </row>
    <row r="73" customFormat="false" ht="12.75" hidden="true" customHeight="false" outlineLevel="1" collapsed="false">
      <c r="A73" s="318" t="str">
        <f aca="false">A67</f>
        <v>Transwestern</v>
      </c>
      <c r="E73" s="317" t="n">
        <f aca="false">E79-E67</f>
        <v>4453.87250000001</v>
      </c>
      <c r="F73" s="317" t="n">
        <f aca="false">F79-F67</f>
        <v>4568.6025</v>
      </c>
      <c r="G73" s="317" t="n">
        <f aca="false">G79-G67</f>
        <v>4698.3475</v>
      </c>
      <c r="H73" s="192" t="n">
        <f aca="false">H79-H67</f>
        <v>2787.475075</v>
      </c>
      <c r="I73" s="192" t="n">
        <f aca="false">I79-I67</f>
        <v>6221.166875</v>
      </c>
      <c r="J73" s="192" t="n">
        <f aca="false">J79-J67</f>
        <v>8428.3755325</v>
      </c>
      <c r="K73" s="192" t="n">
        <f aca="false">K79-K67</f>
        <v>9736.5423925</v>
      </c>
      <c r="L73" s="192" t="n">
        <f aca="false">L79-L67</f>
        <v>6325.1383195</v>
      </c>
      <c r="M73" s="192" t="n">
        <f aca="false">M79-M67</f>
        <v>8387.524992</v>
      </c>
      <c r="N73" s="192" t="n">
        <f aca="false">N79-N67</f>
        <v>8461.8197125</v>
      </c>
      <c r="O73" s="192" t="n">
        <f aca="false">O79-O67</f>
        <v>8627.92931</v>
      </c>
      <c r="P73" s="192" t="n">
        <f aca="false">P79-P67</f>
        <v>5114.90629650001</v>
      </c>
      <c r="Q73" s="192" t="n">
        <f aca="false">Q79-Q67</f>
        <v>5455.1907025</v>
      </c>
      <c r="R73" s="192" t="n">
        <f aca="false">R79-R67</f>
        <v>5794.87019650001</v>
      </c>
    </row>
    <row r="74" customFormat="false" ht="12.75" hidden="true" customHeight="false" outlineLevel="1" collapsed="false">
      <c r="A74" s="318" t="str">
        <f aca="false">A68</f>
        <v>Northern Border Partners</v>
      </c>
      <c r="E74" s="317" t="n">
        <f aca="false">E80-E68</f>
        <v>0</v>
      </c>
      <c r="F74" s="317" t="n">
        <f aca="false">F80-F68</f>
        <v>0</v>
      </c>
      <c r="G74" s="317" t="n">
        <f aca="false">G80-G68</f>
        <v>-23505.79</v>
      </c>
      <c r="H74" s="192" t="n">
        <f aca="false">H80-H68</f>
        <v>16748.8061125</v>
      </c>
      <c r="I74" s="192" t="n">
        <f aca="false">I80-I68</f>
        <v>17382.6239125</v>
      </c>
      <c r="J74" s="192" t="n">
        <f aca="false">J80-J68</f>
        <v>18712.06568</v>
      </c>
      <c r="K74" s="192" t="n">
        <f aca="false">K80-K68</f>
        <v>21100.440515</v>
      </c>
      <c r="L74" s="192" t="n">
        <f aca="false">L80-L68</f>
        <v>13518.747088</v>
      </c>
      <c r="M74" s="192" t="n">
        <f aca="false">M80-M68</f>
        <v>14204.886465</v>
      </c>
      <c r="N74" s="192" t="n">
        <f aca="false">N80-N68</f>
        <v>14449.48505</v>
      </c>
      <c r="O74" s="192" t="n">
        <f aca="false">O80-O68</f>
        <v>14685.474265</v>
      </c>
      <c r="P74" s="192" t="n">
        <f aca="false">P80-P68</f>
        <v>5541.00212049999</v>
      </c>
      <c r="Q74" s="192" t="n">
        <f aca="false">Q80-Q68</f>
        <v>5993.29041849998</v>
      </c>
      <c r="R74" s="192" t="n">
        <f aca="false">R80-R68</f>
        <v>6548.04076850001</v>
      </c>
    </row>
    <row r="75" customFormat="false" ht="12.75" hidden="true" customHeight="false" outlineLevel="1" collapsed="false">
      <c r="A75" s="318" t="str">
        <f aca="false">A69</f>
        <v>Citrus</v>
      </c>
      <c r="E75" s="317" t="n">
        <f aca="false">E81-E69</f>
        <v>0</v>
      </c>
      <c r="F75" s="317" t="n">
        <f aca="false">F81-F69</f>
        <v>0</v>
      </c>
      <c r="G75" s="317" t="n">
        <f aca="false">G81-G69</f>
        <v>0</v>
      </c>
      <c r="H75" s="192" t="n">
        <f aca="false">H81-H69</f>
        <v>50548.2824</v>
      </c>
      <c r="I75" s="192" t="n">
        <f aca="false">I81-I69</f>
        <v>57779.700825</v>
      </c>
      <c r="J75" s="192" t="n">
        <f aca="false">J81-J69</f>
        <v>51082.736705</v>
      </c>
      <c r="K75" s="192" t="n">
        <f aca="false">K81-K69</f>
        <v>55207.8324875</v>
      </c>
      <c r="L75" s="192" t="n">
        <f aca="false">L81-L69</f>
        <v>40516.4383855</v>
      </c>
      <c r="M75" s="192" t="n">
        <f aca="false">M81-M69</f>
        <v>38854.3447985</v>
      </c>
      <c r="N75" s="192" t="n">
        <f aca="false">N81-N69</f>
        <v>37617.2788915</v>
      </c>
      <c r="O75" s="192" t="n">
        <f aca="false">O81-O69</f>
        <v>37016.397418</v>
      </c>
      <c r="P75" s="192" t="n">
        <f aca="false">P81-P69</f>
        <v>23558.229772</v>
      </c>
      <c r="Q75" s="192" t="n">
        <f aca="false">Q81-Q69</f>
        <v>23959.420254</v>
      </c>
      <c r="R75" s="192" t="n">
        <f aca="false">R81-R69</f>
        <v>24410.979131</v>
      </c>
    </row>
    <row r="76" customFormat="false" ht="15" hidden="true" customHeight="false" outlineLevel="1" collapsed="false">
      <c r="A76" s="318" t="str">
        <f aca="false">A70</f>
        <v>Trailblazer</v>
      </c>
      <c r="E76" s="338" t="n">
        <f aca="false">E82-E70</f>
        <v>6533.274825</v>
      </c>
      <c r="F76" s="338" t="n">
        <f aca="false">F82-F70</f>
        <v>6534.4356</v>
      </c>
      <c r="G76" s="338" t="n">
        <f aca="false">G82-G70</f>
        <v>3915.1805</v>
      </c>
      <c r="H76" s="339" t="n">
        <f aca="false">H82-H70</f>
        <v>1531.17600559</v>
      </c>
      <c r="I76" s="339" t="n">
        <f aca="false">I82-I70</f>
        <v>1534.77062524246</v>
      </c>
      <c r="J76" s="339" t="n">
        <f aca="false">J82-J70</f>
        <v>1537.35316649211</v>
      </c>
      <c r="K76" s="339" t="n">
        <f aca="false">K82-K70</f>
        <v>446.420320574026</v>
      </c>
      <c r="L76" s="339" t="n">
        <f aca="false">L82-L70</f>
        <v>448.145663184802</v>
      </c>
      <c r="M76" s="339" t="n">
        <f aca="false">M82-M70</f>
        <v>449.499898161724</v>
      </c>
      <c r="N76" s="339" t="n">
        <f aca="false">N82-N70</f>
        <v>450.710082612416</v>
      </c>
      <c r="O76" s="339" t="n">
        <f aca="false">O82-O70</f>
        <v>451.950525434316</v>
      </c>
      <c r="P76" s="339" t="n">
        <f aca="false">P82-P70</f>
        <v>-639.868853443785</v>
      </c>
      <c r="Q76" s="339" t="n">
        <f aca="false">Q82-Q70</f>
        <v>-638.629327542226</v>
      </c>
      <c r="R76" s="339" t="n">
        <f aca="false">R82-R70</f>
        <v>-637.382574570328</v>
      </c>
    </row>
    <row r="77" customFormat="false" ht="12.75" hidden="true" customHeight="false" outlineLevel="1" collapsed="false">
      <c r="A77" s="187" t="s">
        <v>125</v>
      </c>
      <c r="E77" s="317" t="n">
        <f aca="false">SUM(E72:E76)</f>
        <v>42304.202325</v>
      </c>
      <c r="F77" s="317" t="n">
        <f aca="false">SUM(F72:F76)</f>
        <v>26655.1131</v>
      </c>
      <c r="G77" s="317" t="n">
        <f aca="false">SUM(G72:G76)</f>
        <v>4623.773</v>
      </c>
      <c r="H77" s="192" t="n">
        <f aca="false">SUM(H72:H76)</f>
        <v>102019.63234309</v>
      </c>
      <c r="I77" s="192" t="n">
        <f aca="false">SUM(I72:I76)</f>
        <v>114211.010262743</v>
      </c>
      <c r="J77" s="192" t="n">
        <f aca="false">SUM(J72:J76)</f>
        <v>108882.611956492</v>
      </c>
      <c r="K77" s="192" t="n">
        <f aca="false">SUM(K72:K76)</f>
        <v>117477.810373074</v>
      </c>
      <c r="L77" s="192" t="n">
        <f aca="false">SUM(L72:L76)</f>
        <v>82189.2061796848</v>
      </c>
      <c r="M77" s="192" t="n">
        <f aca="false">SUM(M72:M76)</f>
        <v>84081.3088126617</v>
      </c>
      <c r="N77" s="192" t="n">
        <f aca="false">SUM(N72:N76)</f>
        <v>83906.3880421124</v>
      </c>
      <c r="O77" s="192" t="n">
        <f aca="false">SUM(O72:O76)</f>
        <v>84497.9871384343</v>
      </c>
      <c r="P77" s="192" t="n">
        <f aca="false">SUM(P72:P76)</f>
        <v>47598.7858800562</v>
      </c>
      <c r="Q77" s="192" t="n">
        <f aca="false">SUM(Q72:Q76)</f>
        <v>49708.0671109577</v>
      </c>
      <c r="R77" s="192" t="n">
        <f aca="false">SUM(R72:R76)</f>
        <v>51971.6798159297</v>
      </c>
    </row>
    <row r="78" customFormat="false" ht="12.75" hidden="true" customHeight="false" outlineLevel="1" collapsed="false">
      <c r="A78" s="340" t="str">
        <f aca="false">A72</f>
        <v>Northern Natural</v>
      </c>
      <c r="E78" s="317" t="n">
        <f aca="false">'Northern Natural DCF'!E28</f>
        <v>85411.095</v>
      </c>
      <c r="F78" s="317" t="n">
        <f aca="false">'Northern Natural DCF'!F28</f>
        <v>90566.245</v>
      </c>
      <c r="G78" s="317" t="n">
        <f aca="false">'Northern Natural DCF'!G28</f>
        <v>100713.305</v>
      </c>
      <c r="H78" s="192" t="n">
        <f aca="false">'Northern Natural DCF'!H28</f>
        <v>75473.475</v>
      </c>
      <c r="I78" s="192" t="n">
        <f aca="false">'Northern Natural DCF'!I28</f>
        <v>75370.68</v>
      </c>
      <c r="J78" s="192" t="n">
        <f aca="false">'Northern Natural DCF'!J28</f>
        <v>85141.1194038462</v>
      </c>
      <c r="K78" s="192" t="n">
        <f aca="false">'Northern Natural DCF'!K28</f>
        <v>89266.1646358462</v>
      </c>
      <c r="L78" s="192" t="n">
        <f aca="false">'Northern Natural DCF'!L28</f>
        <v>92246.8674624862</v>
      </c>
      <c r="M78" s="192" t="n">
        <f aca="false">'Northern Natural DCF'!M28</f>
        <v>95557.358095659</v>
      </c>
      <c r="N78" s="192" t="n">
        <f aca="false">'Northern Natural DCF'!N28</f>
        <v>98953.0871664952</v>
      </c>
      <c r="O78" s="192" t="n">
        <f aca="false">'Northern Natural DCF'!O28</f>
        <v>102436.147812498</v>
      </c>
      <c r="P78" s="192" t="n">
        <f aca="false">'Northern Natural DCF'!P28</f>
        <v>106008.694452359</v>
      </c>
      <c r="Q78" s="192" t="n">
        <f aca="false">'Northern Natural DCF'!Q28</f>
        <v>109672.944982501</v>
      </c>
      <c r="R78" s="192" t="n">
        <f aca="false">'Northern Natural DCF'!R28</f>
        <v>113431.183066104</v>
      </c>
    </row>
    <row r="79" customFormat="false" ht="12.75" hidden="true" customHeight="false" outlineLevel="1" collapsed="false">
      <c r="A79" s="340" t="str">
        <f aca="false">A73</f>
        <v>Transwestern</v>
      </c>
      <c r="E79" s="317" t="n">
        <f aca="false">'Transwestern DCF'!E28</f>
        <v>44273.075</v>
      </c>
      <c r="F79" s="317" t="n">
        <f aca="false">'Transwestern DCF'!F28</f>
        <v>39842.11</v>
      </c>
      <c r="G79" s="317" t="n">
        <f aca="false">'Transwestern DCF'!G28</f>
        <v>48315.575</v>
      </c>
      <c r="H79" s="192" t="n">
        <f aca="false">'Transwestern DCF'!H28</f>
        <v>49264.985</v>
      </c>
      <c r="I79" s="192" t="n">
        <f aca="false">'Transwestern DCF'!I28</f>
        <v>46606.63315</v>
      </c>
      <c r="J79" s="192" t="n">
        <f aca="false">'Transwestern DCF'!J28</f>
        <v>52741.98545</v>
      </c>
      <c r="K79" s="192" t="n">
        <f aca="false">'Transwestern DCF'!K28</f>
        <v>57040.293387</v>
      </c>
      <c r="L79" s="192" t="n">
        <f aca="false">'Transwestern DCF'!L28</f>
        <v>61525.72953373</v>
      </c>
      <c r="M79" s="192" t="n">
        <f aca="false">'Transwestern DCF'!M28</f>
        <v>67920.2839231917</v>
      </c>
      <c r="N79" s="192" t="n">
        <f aca="false">'Transwestern DCF'!N28</f>
        <v>68488.5474202607</v>
      </c>
      <c r="O79" s="192" t="n">
        <f aca="false">'Transwestern DCF'!O28</f>
        <v>69090.9990921831</v>
      </c>
      <c r="P79" s="192" t="n">
        <f aca="false">'Transwestern DCF'!P28</f>
        <v>69729.3483477016</v>
      </c>
      <c r="Q79" s="192" t="n">
        <f aca="false">'Transwestern DCF'!Q28</f>
        <v>69620.5169188657</v>
      </c>
      <c r="R79" s="192" t="n">
        <f aca="false">'Transwestern DCF'!R28</f>
        <v>69512.018918588</v>
      </c>
    </row>
    <row r="80" customFormat="false" ht="12.75" hidden="true" customHeight="false" outlineLevel="1" collapsed="false">
      <c r="A80" s="340" t="str">
        <f aca="false">A74</f>
        <v>Northern Border Partners</v>
      </c>
      <c r="E80" s="317" t="n">
        <f aca="false">'NBP DCF'!C26</f>
        <v>0</v>
      </c>
      <c r="F80" s="317" t="n">
        <f aca="false">'NBP DCF'!D26</f>
        <v>0</v>
      </c>
      <c r="G80" s="317" t="n">
        <f aca="false">'NBP DCF'!E26</f>
        <v>90127.73</v>
      </c>
      <c r="H80" s="192" t="n">
        <f aca="false">'NBP DCF'!F26</f>
        <v>97655.4896625</v>
      </c>
      <c r="I80" s="192" t="n">
        <f aca="false">'NBP DCF'!G26</f>
        <v>110037.9116375</v>
      </c>
      <c r="J80" s="192" t="n">
        <f aca="false">'NBP DCF'!H26</f>
        <v>111182.2914125</v>
      </c>
      <c r="K80" s="192" t="n">
        <f aca="false">'NBP DCF'!I26</f>
        <v>115357.317075</v>
      </c>
      <c r="L80" s="192" t="n">
        <f aca="false">'NBP DCF'!J26</f>
        <v>116876.6088875</v>
      </c>
      <c r="M80" s="192" t="n">
        <f aca="false">'NBP DCF'!K26</f>
        <v>116521.888175</v>
      </c>
      <c r="N80" s="192" t="n">
        <f aca="false">'NBP DCF'!L26</f>
        <v>116167.1674625</v>
      </c>
      <c r="O80" s="192" t="n">
        <f aca="false">'NBP DCF'!M26</f>
        <v>115812.44675</v>
      </c>
      <c r="P80" s="192" t="n">
        <f aca="false">'NBP DCF'!N26</f>
        <v>115457.7260375</v>
      </c>
      <c r="Q80" s="192" t="n">
        <f aca="false">'NBP DCF'!O26</f>
        <v>115103.005325</v>
      </c>
      <c r="R80" s="192" t="n">
        <f aca="false">'NBP DCF'!P26</f>
        <v>114748.2846125</v>
      </c>
    </row>
    <row r="81" customFormat="false" ht="12.75" hidden="true" customHeight="false" outlineLevel="1" collapsed="false">
      <c r="A81" s="340" t="str">
        <f aca="false">A75</f>
        <v>Citrus</v>
      </c>
      <c r="E81" s="317" t="n">
        <f aca="false">'Citrus DCF'!D28</f>
        <v>48691.335</v>
      </c>
      <c r="F81" s="317" t="n">
        <f aca="false">'Citrus DCF'!E28</f>
        <v>51154.95</v>
      </c>
      <c r="G81" s="317" t="n">
        <f aca="false">'Citrus DCF'!F28</f>
        <v>60221.7</v>
      </c>
      <c r="H81" s="192" t="n">
        <f aca="false">'Citrus DCF'!G28</f>
        <v>86929.5504</v>
      </c>
      <c r="I81" s="192" t="n">
        <f aca="false">'Citrus DCF'!H28</f>
        <v>100513.095375</v>
      </c>
      <c r="J81" s="192" t="n">
        <f aca="false">'Citrus DCF'!I28</f>
        <v>104563.2357</v>
      </c>
      <c r="K81" s="192" t="n">
        <f aca="false">'Citrus DCF'!J28</f>
        <v>100868.61785</v>
      </c>
      <c r="L81" s="192" t="n">
        <f aca="false">'Citrus DCF'!K28</f>
        <v>98965.892025</v>
      </c>
      <c r="M81" s="192" t="n">
        <f aca="false">'Citrus DCF'!L28</f>
        <v>98816.0712</v>
      </c>
      <c r="N81" s="192" t="n">
        <f aca="false">'Citrus DCF'!M28</f>
        <v>98666.250375</v>
      </c>
      <c r="O81" s="192" t="n">
        <f aca="false">'Citrus DCF'!N28</f>
        <v>98516.42955</v>
      </c>
      <c r="P81" s="192" t="n">
        <f aca="false">'Citrus DCF'!O28</f>
        <v>98366.608725</v>
      </c>
      <c r="Q81" s="192" t="n">
        <f aca="false">'Citrus DCF'!P28</f>
        <v>98216.7879</v>
      </c>
      <c r="R81" s="192" t="n">
        <f aca="false">'Citrus DCF'!Q28</f>
        <v>98066.967075</v>
      </c>
    </row>
    <row r="82" customFormat="false" ht="15" hidden="true" customHeight="false" outlineLevel="1" collapsed="false">
      <c r="A82" s="340" t="str">
        <f aca="false">A76</f>
        <v>Trailblazer</v>
      </c>
      <c r="E82" s="338" t="n">
        <f aca="false">'Trailblazer DCF'!E28</f>
        <v>8458.419585</v>
      </c>
      <c r="F82" s="338" t="n">
        <f aca="false">'Trailblazer DCF'!F28</f>
        <v>5394.3043</v>
      </c>
      <c r="G82" s="338" t="n">
        <f aca="false">'Trailblazer DCF'!G28</f>
        <v>6058.72883</v>
      </c>
      <c r="H82" s="339" t="n">
        <f aca="false">'Trailblazer DCF'!H28</f>
        <v>5486.9953906842</v>
      </c>
      <c r="I82" s="339" t="n">
        <f aca="false">'Trailblazer DCF'!I28</f>
        <v>5485.05382800644</v>
      </c>
      <c r="J82" s="339" t="n">
        <f aca="false">'Trailblazer DCF'!J28</f>
        <v>5483.11226532869</v>
      </c>
      <c r="K82" s="339" t="n">
        <f aca="false">'Trailblazer DCF'!K28</f>
        <v>5481.17070265093</v>
      </c>
      <c r="L82" s="339" t="n">
        <f aca="false">'Trailblazer DCF'!L28</f>
        <v>5479.22913997318</v>
      </c>
      <c r="M82" s="339" t="n">
        <f aca="false">'Trailblazer DCF'!M28</f>
        <v>5477.28757729542</v>
      </c>
      <c r="N82" s="339" t="n">
        <f aca="false">'Trailblazer DCF'!N28</f>
        <v>5475.34601461767</v>
      </c>
      <c r="O82" s="339" t="n">
        <f aca="false">'Trailblazer DCF'!O28</f>
        <v>5473.40445193991</v>
      </c>
      <c r="P82" s="339" t="n">
        <f aca="false">'Trailblazer DCF'!P28</f>
        <v>5471.46288926216</v>
      </c>
      <c r="Q82" s="339" t="n">
        <f aca="false">'Trailblazer DCF'!Q28</f>
        <v>5469.52132658441</v>
      </c>
      <c r="R82" s="339" t="n">
        <f aca="false">'Trailblazer DCF'!R28</f>
        <v>5467.57976390665</v>
      </c>
    </row>
    <row r="83" customFormat="false" ht="12.75" hidden="false" customHeight="false" outlineLevel="0" collapsed="false">
      <c r="A83" s="341" t="s">
        <v>174</v>
      </c>
      <c r="B83" s="342"/>
      <c r="C83" s="343"/>
      <c r="E83" s="310" t="n">
        <f aca="false">SUM(E78:E82)</f>
        <v>186833.924585</v>
      </c>
      <c r="F83" s="310" t="n">
        <f aca="false">SUM(F78:F82)</f>
        <v>186957.6093</v>
      </c>
      <c r="G83" s="310" t="n">
        <f aca="false">SUM(G78:G82)</f>
        <v>305437.03883</v>
      </c>
      <c r="H83" s="187" t="n">
        <f aca="false">SUM(H78:H82)</f>
        <v>314810.495453184</v>
      </c>
      <c r="I83" s="187" t="n">
        <f aca="false">SUM(I78:I82)</f>
        <v>338013.373990506</v>
      </c>
      <c r="J83" s="187" t="n">
        <f aca="false">SUM(J78:J82)</f>
        <v>359111.744231675</v>
      </c>
      <c r="K83" s="187" t="n">
        <f aca="false">SUM(K78:K82)</f>
        <v>368013.563650497</v>
      </c>
      <c r="L83" s="187" t="n">
        <f aca="false">SUM(L78:L82)</f>
        <v>375094.327048689</v>
      </c>
      <c r="M83" s="187" t="n">
        <f aca="false">SUM(M78:M82)</f>
        <v>384292.888971146</v>
      </c>
      <c r="N83" s="187" t="n">
        <f aca="false">SUM(N78:N82)</f>
        <v>387750.398438874</v>
      </c>
      <c r="O83" s="187" t="n">
        <f aca="false">SUM(O78:O82)</f>
        <v>391329.427656621</v>
      </c>
      <c r="P83" s="187" t="n">
        <f aca="false">SUM(P78:P82)</f>
        <v>395033.840451823</v>
      </c>
      <c r="Q83" s="187" t="n">
        <f aca="false">SUM(Q78:Q82)</f>
        <v>398082.776452951</v>
      </c>
      <c r="R83" s="187" t="n">
        <f aca="false">SUM(R78:R82)</f>
        <v>401226.033436099</v>
      </c>
    </row>
    <row r="84" customFormat="false" ht="12.75" hidden="false" customHeight="false" outlineLevel="0" collapsed="false">
      <c r="A84" s="340"/>
      <c r="B84" s="342"/>
      <c r="C84" s="343"/>
      <c r="E84" s="310"/>
      <c r="F84" s="310"/>
      <c r="G84" s="310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</row>
    <row r="85" customFormat="false" ht="12.75" hidden="false" customHeight="false" outlineLevel="0" collapsed="false">
      <c r="A85" s="344" t="str">
        <f aca="false">A72</f>
        <v>Northern Natural</v>
      </c>
      <c r="B85" s="342"/>
      <c r="C85" s="343"/>
      <c r="E85" s="310" t="n">
        <f aca="false">E59-E78</f>
        <v>136435.905</v>
      </c>
      <c r="F85" s="310" t="n">
        <f aca="false">F59-F78</f>
        <v>144670.755</v>
      </c>
      <c r="G85" s="310" t="n">
        <f aca="false">G59-G78</f>
        <v>160879.695</v>
      </c>
      <c r="H85" s="187" t="n">
        <f aca="false">H59-H78</f>
        <v>120561.525</v>
      </c>
      <c r="I85" s="187" t="n">
        <f aca="false">I59-I78</f>
        <v>120397.32</v>
      </c>
      <c r="J85" s="187" t="n">
        <f aca="false">J59-J78</f>
        <v>136004.645281469</v>
      </c>
      <c r="K85" s="187" t="n">
        <f aca="false">K59-K78</f>
        <v>142594.003249469</v>
      </c>
      <c r="L85" s="187" t="n">
        <f aca="false">L59-L78</f>
        <v>147355.385686829</v>
      </c>
      <c r="M85" s="187" t="n">
        <f aca="false">M59-M78</f>
        <v>152643.572022936</v>
      </c>
      <c r="N85" s="187" t="n">
        <f aca="false">N59-N78</f>
        <v>158067.918460765</v>
      </c>
      <c r="O85" s="187" t="n">
        <f aca="false">O59-O78</f>
        <v>163631.768583601</v>
      </c>
      <c r="P85" s="187" t="n">
        <f aca="false">P59-P78</f>
        <v>169338.563865456</v>
      </c>
      <c r="Q85" s="187" t="n">
        <f aca="false">Q59-Q78</f>
        <v>175191.847179839</v>
      </c>
      <c r="R85" s="187" t="n">
        <f aca="false">R59-R78</f>
        <v>181195.266456245</v>
      </c>
    </row>
    <row r="86" customFormat="false" ht="12.75" hidden="false" customHeight="false" outlineLevel="0" collapsed="false">
      <c r="A86" s="344" t="str">
        <f aca="false">A73</f>
        <v>Transwestern</v>
      </c>
      <c r="B86" s="342"/>
      <c r="C86" s="343"/>
      <c r="E86" s="310" t="n">
        <f aca="false">E60-E79</f>
        <v>70721.925</v>
      </c>
      <c r="F86" s="310" t="n">
        <f aca="false">F60-F79</f>
        <v>63643.89</v>
      </c>
      <c r="G86" s="310" t="n">
        <f aca="false">G60-G79</f>
        <v>77179.425</v>
      </c>
      <c r="H86" s="187" t="n">
        <f aca="false">H60-H79</f>
        <v>78696.015</v>
      </c>
      <c r="I86" s="187" t="n">
        <f aca="false">I60-I79</f>
        <v>74449.55685</v>
      </c>
      <c r="J86" s="187" t="n">
        <f aca="false">J60-J79</f>
        <v>84250.18455</v>
      </c>
      <c r="K86" s="187" t="n">
        <f aca="false">K60-K79</f>
        <v>91116.312813</v>
      </c>
      <c r="L86" s="187" t="n">
        <f aca="false">L60-L79</f>
        <v>98281.36016427</v>
      </c>
      <c r="M86" s="187" t="n">
        <f aca="false">M60-M79</f>
        <v>108496.037955228</v>
      </c>
      <c r="N86" s="187" t="n">
        <f aca="false">N60-N79</f>
        <v>109403.783541455</v>
      </c>
      <c r="O86" s="187" t="n">
        <f aca="false">O60-O79</f>
        <v>110366.141406994</v>
      </c>
      <c r="P86" s="187" t="n">
        <f aca="false">P60-P79</f>
        <v>111385.842165809</v>
      </c>
      <c r="Q86" s="187" t="n">
        <f aca="false">Q60-Q79</f>
        <v>111211.994558708</v>
      </c>
      <c r="R86" s="187" t="n">
        <f aca="false">R60-R79</f>
        <v>111038.679571251</v>
      </c>
    </row>
    <row r="87" customFormat="false" ht="12.75" hidden="false" customHeight="false" outlineLevel="0" collapsed="false">
      <c r="A87" s="344" t="str">
        <f aca="false">A74</f>
        <v>Northern Border Partners</v>
      </c>
      <c r="B87" s="342"/>
      <c r="C87" s="343"/>
      <c r="E87" s="310" t="n">
        <f aca="false">E61-E80</f>
        <v>0</v>
      </c>
      <c r="F87" s="310" t="n">
        <f aca="false">F61-F80</f>
        <v>0</v>
      </c>
      <c r="G87" s="310" t="n">
        <f aca="false">G61-G80</f>
        <v>143970.27</v>
      </c>
      <c r="H87" s="187" t="n">
        <f aca="false">H61-H80</f>
        <v>155995.1328375</v>
      </c>
      <c r="I87" s="187" t="n">
        <f aca="false">I61-I80</f>
        <v>175774.8458625</v>
      </c>
      <c r="J87" s="187" t="n">
        <f aca="false">J61-J80</f>
        <v>177602.8810875</v>
      </c>
      <c r="K87" s="187" t="n">
        <f aca="false">K61-K80</f>
        <v>184272.077925</v>
      </c>
      <c r="L87" s="187" t="n">
        <f aca="false">L61-L80</f>
        <v>186698.9986125</v>
      </c>
      <c r="M87" s="187" t="n">
        <f aca="false">M61-M80</f>
        <v>186132.366825</v>
      </c>
      <c r="N87" s="187" t="n">
        <f aca="false">N61-N80</f>
        <v>185565.7350375</v>
      </c>
      <c r="O87" s="187" t="n">
        <f aca="false">O61-O80</f>
        <v>184999.10325</v>
      </c>
      <c r="P87" s="187" t="n">
        <f aca="false">P61-P80</f>
        <v>184432.4714625</v>
      </c>
      <c r="Q87" s="187" t="n">
        <f aca="false">Q61-Q80</f>
        <v>183865.839675</v>
      </c>
      <c r="R87" s="187" t="n">
        <f aca="false">R61-R80</f>
        <v>183299.2078875</v>
      </c>
    </row>
    <row r="88" customFormat="false" ht="12.75" hidden="false" customHeight="false" outlineLevel="0" collapsed="false">
      <c r="A88" s="344" t="str">
        <f aca="false">A75</f>
        <v>Citrus</v>
      </c>
      <c r="E88" s="310" t="n">
        <f aca="false">E62-E81</f>
        <v>202586.665</v>
      </c>
      <c r="F88" s="310" t="n">
        <f aca="false">F62-F81</f>
        <v>195557.05</v>
      </c>
      <c r="G88" s="310" t="n">
        <f aca="false">G62-G81</f>
        <v>209993.3</v>
      </c>
      <c r="H88" s="187" t="n">
        <f aca="false">H62-H81</f>
        <v>138861.4896</v>
      </c>
      <c r="I88" s="187" t="n">
        <f aca="false">I62-I81</f>
        <v>160559.879625</v>
      </c>
      <c r="J88" s="187" t="n">
        <f aca="false">J62-J81</f>
        <v>167029.5843</v>
      </c>
      <c r="K88" s="187" t="n">
        <f aca="false">K62-K81</f>
        <v>161127.79215</v>
      </c>
      <c r="L88" s="187" t="n">
        <f aca="false">L62-L81</f>
        <v>158088.372975</v>
      </c>
      <c r="M88" s="187" t="n">
        <f aca="false">M62-M81</f>
        <v>157849.0488</v>
      </c>
      <c r="N88" s="187" t="n">
        <f aca="false">N62-N81</f>
        <v>157609.724625</v>
      </c>
      <c r="O88" s="187" t="n">
        <f aca="false">O62-O81</f>
        <v>157370.40045</v>
      </c>
      <c r="P88" s="187" t="n">
        <f aca="false">P62-P81</f>
        <v>157131.076275</v>
      </c>
      <c r="Q88" s="187" t="n">
        <f aca="false">Q62-Q81</f>
        <v>156891.7521</v>
      </c>
      <c r="R88" s="187" t="n">
        <f aca="false">R62-R81</f>
        <v>156652.427925</v>
      </c>
    </row>
    <row r="89" customFormat="false" ht="12.75" hidden="false" customHeight="false" outlineLevel="0" collapsed="false">
      <c r="A89" s="344" t="str">
        <f aca="false">A82</f>
        <v>Trailblazer</v>
      </c>
      <c r="E89" s="310" t="n">
        <f aca="false">E63-E82</f>
        <v>13511.501415</v>
      </c>
      <c r="F89" s="310" t="n">
        <f aca="false">F63-F82</f>
        <v>8616.8757</v>
      </c>
      <c r="G89" s="310" t="n">
        <f aca="false">G63-G82</f>
        <v>9678.22917</v>
      </c>
      <c r="H89" s="187" t="n">
        <f aca="false">H63-H82</f>
        <v>8764.94068901501</v>
      </c>
      <c r="I89" s="187" t="n">
        <f aca="false">I63-I82</f>
        <v>8761.83923175055</v>
      </c>
      <c r="J89" s="187" t="n">
        <f aca="false">J63-J82</f>
        <v>8758.73777448608</v>
      </c>
      <c r="K89" s="187" t="n">
        <f aca="false">K63-K82</f>
        <v>8755.63631722162</v>
      </c>
      <c r="L89" s="187" t="n">
        <f aca="false">L63-L82</f>
        <v>8752.53485995715</v>
      </c>
      <c r="M89" s="187" t="n">
        <f aca="false">M63-M82</f>
        <v>8749.43340269269</v>
      </c>
      <c r="N89" s="187" t="n">
        <f aca="false">N63-N82</f>
        <v>8746.33194542822</v>
      </c>
      <c r="O89" s="187" t="n">
        <f aca="false">O63-O82</f>
        <v>8743.23048816376</v>
      </c>
      <c r="P89" s="187" t="n">
        <f aca="false">P63-P82</f>
        <v>8740.12903089929</v>
      </c>
      <c r="Q89" s="187" t="n">
        <f aca="false">Q63-Q82</f>
        <v>8737.02757363483</v>
      </c>
      <c r="R89" s="187" t="n">
        <f aca="false">R63-R82</f>
        <v>8733.92611637036</v>
      </c>
    </row>
    <row r="90" customFormat="false" ht="12.75" hidden="false" customHeight="false" outlineLevel="0" collapsed="false">
      <c r="A90" s="345" t="s">
        <v>175</v>
      </c>
      <c r="B90" s="197"/>
      <c r="C90" s="197"/>
      <c r="D90" s="197"/>
      <c r="E90" s="334" t="n">
        <f aca="false">SUM(E85:E89)</f>
        <v>423255.996415</v>
      </c>
      <c r="F90" s="334" t="n">
        <f aca="false">SUM(F85:F89)</f>
        <v>412488.5707</v>
      </c>
      <c r="G90" s="334" t="n">
        <f aca="false">SUM(G85:G89)</f>
        <v>601700.91917</v>
      </c>
      <c r="H90" s="335" t="n">
        <f aca="false">SUM(H85:H89)</f>
        <v>502879.103126515</v>
      </c>
      <c r="I90" s="346" t="n">
        <f aca="false">SUM(I85:I89)</f>
        <v>539943.441569251</v>
      </c>
      <c r="J90" s="346" t="n">
        <f aca="false">SUM(J85:J89)</f>
        <v>573646.032993455</v>
      </c>
      <c r="K90" s="346" t="n">
        <f aca="false">SUM(K85:K89)</f>
        <v>587865.82245469</v>
      </c>
      <c r="L90" s="346" t="n">
        <f aca="false">SUM(L85:L89)</f>
        <v>599176.652298556</v>
      </c>
      <c r="M90" s="346" t="n">
        <f aca="false">SUM(M85:M89)</f>
        <v>613870.459005857</v>
      </c>
      <c r="N90" s="346" t="n">
        <f aca="false">SUM(N85:N89)</f>
        <v>619393.493610149</v>
      </c>
      <c r="O90" s="346" t="n">
        <f aca="false">SUM(O85:O89)</f>
        <v>625110.644178759</v>
      </c>
      <c r="P90" s="346" t="n">
        <f aca="false">SUM(P85:P89)</f>
        <v>631028.082799665</v>
      </c>
      <c r="Q90" s="346" t="n">
        <f aca="false">SUM(Q85:Q89)</f>
        <v>635898.461087182</v>
      </c>
      <c r="R90" s="346" t="n">
        <f aca="false">SUM(R85:R89)</f>
        <v>640919.507956366</v>
      </c>
    </row>
    <row r="91" customFormat="false" ht="12.75" hidden="false" customHeight="false" outlineLevel="0" collapsed="false">
      <c r="A91" s="187"/>
      <c r="E91" s="307"/>
      <c r="F91" s="336"/>
      <c r="G91" s="336"/>
      <c r="H91" s="337"/>
      <c r="I91" s="337"/>
      <c r="J91" s="337"/>
      <c r="K91" s="337"/>
      <c r="L91" s="337"/>
      <c r="M91" s="337"/>
      <c r="N91" s="337"/>
      <c r="O91" s="337"/>
      <c r="P91" s="337"/>
      <c r="Q91" s="337"/>
      <c r="R91" s="337"/>
      <c r="S91" s="347"/>
      <c r="T91" s="204"/>
    </row>
    <row r="92" customFormat="false" ht="12.75" hidden="true" customHeight="false" outlineLevel="1" collapsed="false">
      <c r="A92" s="340" t="str">
        <f aca="false">A85</f>
        <v>Northern Natural</v>
      </c>
      <c r="E92" s="317" t="n">
        <f aca="false">E85+E52+E72</f>
        <v>249095.96</v>
      </c>
      <c r="F92" s="317" t="n">
        <f aca="false">F85+F52+F72</f>
        <v>200617.83</v>
      </c>
      <c r="G92" s="317" t="n">
        <f aca="false">G85+G52+G72</f>
        <v>231086.73</v>
      </c>
      <c r="H92" s="192" t="n">
        <f aca="false">H85+H52+H72</f>
        <v>212544.41775</v>
      </c>
      <c r="I92" s="192" t="n">
        <f aca="false">I85+I52+I72</f>
        <v>218463.068025</v>
      </c>
      <c r="J92" s="192" t="n">
        <f aca="false">J85+J52+J72</f>
        <v>218469.756153969</v>
      </c>
      <c r="K92" s="192" t="n">
        <f aca="false">K85+K52+K72</f>
        <v>228386.107906969</v>
      </c>
      <c r="L92" s="192" t="n">
        <f aca="false">L85+L52+L72</f>
        <v>225004.152410329</v>
      </c>
      <c r="M92" s="192" t="n">
        <f aca="false">M85+M52+M72</f>
        <v>232559.154681936</v>
      </c>
      <c r="N92" s="192" t="n">
        <f aca="false">N85+N52+N72</f>
        <v>240188.042766265</v>
      </c>
      <c r="O92" s="192" t="n">
        <f aca="false">O85+O52+O72</f>
        <v>248003.534203601</v>
      </c>
      <c r="P92" s="192" t="n">
        <f aca="false">P85+P52+P72</f>
        <v>245481.110409956</v>
      </c>
      <c r="Q92" s="192" t="n">
        <f aca="false">Q85+Q52+Q72</f>
        <v>253711.172243339</v>
      </c>
      <c r="R92" s="192" t="n">
        <f aca="false">R85+R52+R72</f>
        <v>262093.468750745</v>
      </c>
      <c r="S92" s="347"/>
      <c r="T92" s="204"/>
    </row>
    <row r="93" customFormat="false" ht="12.75" hidden="true" customHeight="false" outlineLevel="1" collapsed="false">
      <c r="A93" s="340" t="str">
        <f aca="false">A86</f>
        <v>Transwestern</v>
      </c>
      <c r="E93" s="317" t="n">
        <f aca="false">E86+E53+E73</f>
        <v>98312.7975</v>
      </c>
      <c r="F93" s="317" t="n">
        <f aca="false">F86+F53+F73</f>
        <v>91945.4925</v>
      </c>
      <c r="G93" s="317" t="n">
        <f aca="false">G86+G53+G73</f>
        <v>106284.7725</v>
      </c>
      <c r="H93" s="192" t="n">
        <f aca="false">H86+H53+H73</f>
        <v>110269.490075</v>
      </c>
      <c r="I93" s="192" t="n">
        <f aca="false">I86+I53+I73</f>
        <v>110208.533725</v>
      </c>
      <c r="J93" s="192" t="n">
        <f aca="false">J86+J53+J73</f>
        <v>122337.3700825</v>
      </c>
      <c r="K93" s="192" t="n">
        <f aca="false">K86+K53+K73</f>
        <v>129978.6652055</v>
      </c>
      <c r="L93" s="192" t="n">
        <f aca="false">L86+L53+L73</f>
        <v>133232.30848377</v>
      </c>
      <c r="M93" s="192" t="n">
        <f aca="false">M86+M53+M73</f>
        <v>140609.372947228</v>
      </c>
      <c r="N93" s="192" t="n">
        <f aca="false">N86+N53+N73</f>
        <v>141891.413253955</v>
      </c>
      <c r="O93" s="192" t="n">
        <f aca="false">O86+O53+O73</f>
        <v>143319.880716994</v>
      </c>
      <c r="P93" s="192" t="n">
        <f aca="false">P86+P53+P73</f>
        <v>141126.558462309</v>
      </c>
      <c r="Q93" s="192" t="n">
        <f aca="false">Q86+Q53+Q73</f>
        <v>141592.995261208</v>
      </c>
      <c r="R93" s="192" t="n">
        <f aca="false">R86+R53+R73</f>
        <v>142059.359767751</v>
      </c>
      <c r="S93" s="347"/>
      <c r="T93" s="204"/>
    </row>
    <row r="94" customFormat="false" ht="12.75" hidden="true" customHeight="false" outlineLevel="1" collapsed="false">
      <c r="A94" s="340" t="str">
        <f aca="false">A87</f>
        <v>Northern Border Partners</v>
      </c>
      <c r="E94" s="317" t="n">
        <f aca="false">E87+E54+E74</f>
        <v>0</v>
      </c>
      <c r="F94" s="317" t="n">
        <f aca="false">F87+F54+F74</f>
        <v>0</v>
      </c>
      <c r="G94" s="317" t="n">
        <f aca="false">G87+G54+G74</f>
        <v>181518.48</v>
      </c>
      <c r="H94" s="192" t="n">
        <f aca="false">H87+H54+H74</f>
        <v>228423.31645</v>
      </c>
      <c r="I94" s="192" t="n">
        <f aca="false">I87+I54+I74</f>
        <v>249457.712275</v>
      </c>
      <c r="J94" s="192" t="n">
        <f aca="false">J87+J54+J74</f>
        <v>254577.7742675</v>
      </c>
      <c r="K94" s="192" t="n">
        <f aca="false">K87+K54+K74</f>
        <v>265851.12344</v>
      </c>
      <c r="L94" s="192" t="n">
        <f aca="false">L87+L54+L74</f>
        <v>262038.1382005</v>
      </c>
      <c r="M94" s="192" t="n">
        <f aca="false">M87+M54+M74</f>
        <v>263078.99829</v>
      </c>
      <c r="N94" s="192" t="n">
        <f aca="false">N87+N54+N74</f>
        <v>263678.3175875</v>
      </c>
      <c r="O94" s="192" t="n">
        <f aca="false">O87+O54+O74</f>
        <v>264269.027515</v>
      </c>
      <c r="P94" s="192" t="n">
        <f aca="false">P87+P54+P74</f>
        <v>255479.276083</v>
      </c>
      <c r="Q94" s="192" t="n">
        <f aca="false">Q87+Q54+Q74</f>
        <v>256286.2850935</v>
      </c>
      <c r="R94" s="192" t="n">
        <f aca="false">R87+R54+R74</f>
        <v>257195.756156</v>
      </c>
      <c r="S94" s="347"/>
      <c r="T94" s="204"/>
    </row>
    <row r="95" customFormat="false" ht="12.75" hidden="true" customHeight="false" outlineLevel="1" collapsed="false">
      <c r="A95" s="340" t="str">
        <f aca="false">A88</f>
        <v>Citrus</v>
      </c>
      <c r="E95" s="317" t="n">
        <f aca="false">E88+E55+E75</f>
        <v>254357.665</v>
      </c>
      <c r="F95" s="317" t="n">
        <f aca="false">F88+F55+F75</f>
        <v>246791.05</v>
      </c>
      <c r="G95" s="317" t="n">
        <f aca="false">G88+G55+G75</f>
        <v>260432.3</v>
      </c>
      <c r="H95" s="192" t="n">
        <f aca="false">H88+H55+H75</f>
        <v>245678.732</v>
      </c>
      <c r="I95" s="192" t="n">
        <f aca="false">I88+I55+I75</f>
        <v>277912.60545</v>
      </c>
      <c r="J95" s="192" t="n">
        <f aca="false">J88+J55+J75</f>
        <v>282006.501005</v>
      </c>
      <c r="K95" s="192" t="n">
        <f aca="false">K88+K55+K75</f>
        <v>281059.2146375</v>
      </c>
      <c r="L95" s="192" t="n">
        <f aca="false">L88+L55+L75</f>
        <v>263717.5463605</v>
      </c>
      <c r="M95" s="192" t="n">
        <f aca="false">M88+M55+M75</f>
        <v>262205.2735985</v>
      </c>
      <c r="N95" s="192" t="n">
        <f aca="false">N88+N55+N75</f>
        <v>261118.0285165</v>
      </c>
      <c r="O95" s="192" t="n">
        <f aca="false">O88+O55+O75</f>
        <v>260666.967868</v>
      </c>
      <c r="P95" s="192" t="n">
        <f aca="false">P88+P55+P75</f>
        <v>247358.621047</v>
      </c>
      <c r="Q95" s="192" t="n">
        <f aca="false">Q88+Q55+Q75</f>
        <v>247909.632354</v>
      </c>
      <c r="R95" s="192" t="n">
        <f aca="false">R88+R55+R75</f>
        <v>248511.012056</v>
      </c>
      <c r="S95" s="347"/>
      <c r="T95" s="204"/>
    </row>
    <row r="96" customFormat="false" ht="12.75" hidden="true" customHeight="false" outlineLevel="1" collapsed="false">
      <c r="A96" s="340" t="str">
        <f aca="false">A89</f>
        <v>Trailblazer</v>
      </c>
      <c r="E96" s="317" t="n">
        <f aca="false">E89+E56+E76</f>
        <v>37014.32124</v>
      </c>
      <c r="F96" s="317" t="n">
        <f aca="false">F89+F56+F76</f>
        <v>32123.8713</v>
      </c>
      <c r="G96" s="317" t="n">
        <f aca="false">G89+G56+G76</f>
        <v>23762.70967</v>
      </c>
      <c r="H96" s="192" t="n">
        <f aca="false">H89+H56+H76</f>
        <v>20522.895210605</v>
      </c>
      <c r="I96" s="192" t="n">
        <f aca="false">I89+I56+I76</f>
        <v>20528.4313929352</v>
      </c>
      <c r="J96" s="192" t="n">
        <f aca="false">J89+J56+J76</f>
        <v>20532.9554968626</v>
      </c>
      <c r="K96" s="192" t="n">
        <f aca="false">K89+K56+K76</f>
        <v>19443.9642136223</v>
      </c>
      <c r="L96" s="192" t="n">
        <f aca="false">L89+L56+L76</f>
        <v>19447.6311189108</v>
      </c>
      <c r="M96" s="192" t="n">
        <f aca="false">M89+M56+M76</f>
        <v>19450.9269165655</v>
      </c>
      <c r="N96" s="192" t="n">
        <f aca="false">N89+N56+N76</f>
        <v>19454.078663694</v>
      </c>
      <c r="O96" s="192" t="n">
        <f aca="false">O89+O56+O76</f>
        <v>19457.2606691936</v>
      </c>
      <c r="P96" s="192" t="n">
        <f aca="false">P89+P56+P76</f>
        <v>18367.3828529933</v>
      </c>
      <c r="Q96" s="192" t="n">
        <f aca="false">Q89+Q56+Q76</f>
        <v>18370.5639415726</v>
      </c>
      <c r="R96" s="192" t="n">
        <f aca="false">R89+R56+R76</f>
        <v>18373.7522572222</v>
      </c>
      <c r="S96" s="347"/>
      <c r="T96" s="204"/>
    </row>
    <row r="97" customFormat="false" ht="12.75" hidden="false" customHeight="false" outlineLevel="0" collapsed="false">
      <c r="A97" s="348" t="s">
        <v>176</v>
      </c>
      <c r="E97" s="317" t="n">
        <f aca="false">E90+E77+E57</f>
        <v>638780.74374</v>
      </c>
      <c r="F97" s="317" t="n">
        <f aca="false">F90+F77+F57</f>
        <v>571478.2438</v>
      </c>
      <c r="G97" s="317" t="n">
        <f aca="false">G90+G77+G57</f>
        <v>803084.99217</v>
      </c>
      <c r="H97" s="192" t="n">
        <f aca="false">H90+H77+H57</f>
        <v>817438.851485605</v>
      </c>
      <c r="I97" s="192" t="n">
        <f aca="false">I90+I77+I57</f>
        <v>876570.350867935</v>
      </c>
      <c r="J97" s="192" t="n">
        <f aca="false">J90+J77+J57</f>
        <v>897924.357005831</v>
      </c>
      <c r="K97" s="192" t="n">
        <f aca="false">K90+K77+K57</f>
        <v>924719.075403591</v>
      </c>
      <c r="L97" s="192" t="n">
        <f aca="false">L90+L77+L57</f>
        <v>903439.776574009</v>
      </c>
      <c r="M97" s="192" t="n">
        <f aca="false">M90+M77+M57</f>
        <v>917903.72643423</v>
      </c>
      <c r="N97" s="192" t="n">
        <f aca="false">N90+N77+N57</f>
        <v>926329.880787914</v>
      </c>
      <c r="O97" s="192" t="n">
        <f aca="false">O90+O77+O57</f>
        <v>935716.670972788</v>
      </c>
      <c r="P97" s="192" t="n">
        <f aca="false">P90+P77+P57</f>
        <v>907812.948855258</v>
      </c>
      <c r="Q97" s="192" t="n">
        <f aca="false">Q90+Q77+Q57</f>
        <v>917870.648893619</v>
      </c>
      <c r="R97" s="192" t="n">
        <f aca="false">R90+R77+R57</f>
        <v>928233.348987718</v>
      </c>
      <c r="T97" s="187"/>
    </row>
    <row r="98" customFormat="false" ht="12.75" hidden="false" customHeight="false" outlineLevel="0" collapsed="false">
      <c r="A98" s="187"/>
      <c r="E98" s="307"/>
      <c r="F98" s="307"/>
      <c r="G98" s="307"/>
      <c r="H98" s="204"/>
      <c r="T98" s="187"/>
    </row>
    <row r="99" customFormat="false" ht="12.75" hidden="true" customHeight="false" outlineLevel="1" collapsed="false">
      <c r="A99" s="340" t="str">
        <f aca="false">A19</f>
        <v>Northern Natural</v>
      </c>
      <c r="B99" s="309" t="n">
        <f aca="false">B44</f>
        <v>1</v>
      </c>
      <c r="E99" s="317" t="n">
        <f aca="false">'Northern Natural DCF'!E33*$B$99</f>
        <v>157057</v>
      </c>
      <c r="F99" s="317" t="n">
        <f aca="false">'Northern Natural DCF'!F33*$B$99</f>
        <v>111491</v>
      </c>
      <c r="G99" s="317" t="n">
        <f aca="false">'Northern Natural DCF'!G33*$B$99</f>
        <v>67137</v>
      </c>
      <c r="H99" s="192" t="n">
        <f aca="false">'Northern Natural DCF'!H33*$B$99</f>
        <v>89631</v>
      </c>
      <c r="I99" s="192" t="n">
        <f aca="false">'Northern Natural DCF'!I33*$B$99</f>
        <v>99500</v>
      </c>
      <c r="J99" s="192" t="n">
        <f aca="false">'Northern Natural DCF'!J33*$B$99</f>
        <v>65000</v>
      </c>
      <c r="K99" s="192" t="n">
        <f aca="false">'Northern Natural DCF'!K33*$B$99</f>
        <v>65000</v>
      </c>
      <c r="L99" s="192" t="n">
        <f aca="false">'Northern Natural DCF'!L33*$B$99</f>
        <v>65000</v>
      </c>
      <c r="M99" s="192" t="n">
        <f aca="false">'Northern Natural DCF'!M33*$B$99</f>
        <v>65000</v>
      </c>
      <c r="N99" s="192" t="n">
        <f aca="false">'Northern Natural DCF'!N33*$B$99</f>
        <v>65000</v>
      </c>
      <c r="O99" s="192" t="n">
        <f aca="false">'Northern Natural DCF'!O33*$B$99</f>
        <v>65000</v>
      </c>
      <c r="P99" s="192" t="n">
        <f aca="false">'Northern Natural DCF'!P33*$B$99</f>
        <v>65000</v>
      </c>
      <c r="Q99" s="192" t="n">
        <f aca="false">'Northern Natural DCF'!Q33*$B$99</f>
        <v>65000</v>
      </c>
      <c r="R99" s="192" t="n">
        <f aca="false">'Northern Natural DCF'!R33*$B$99</f>
        <v>65000</v>
      </c>
      <c r="S99" s="347"/>
      <c r="T99" s="187"/>
    </row>
    <row r="100" customFormat="false" ht="12.75" hidden="true" customHeight="false" outlineLevel="1" collapsed="false">
      <c r="A100" s="340" t="str">
        <f aca="false">A20</f>
        <v>Transwestern</v>
      </c>
      <c r="B100" s="309" t="n">
        <f aca="false">B45</f>
        <v>1</v>
      </c>
      <c r="E100" s="317" t="n">
        <f aca="false">'Transwestern DCF'!E33*$B$100</f>
        <v>18700</v>
      </c>
      <c r="F100" s="317" t="n">
        <f aca="false">'Transwestern DCF'!F33*$B$100</f>
        <v>31294</v>
      </c>
      <c r="G100" s="317" t="n">
        <f aca="false">'Transwestern DCF'!G33*$B$100</f>
        <v>29549</v>
      </c>
      <c r="H100" s="192" t="n">
        <f aca="false">'Transwestern DCF'!H33*$B$100</f>
        <v>68105</v>
      </c>
      <c r="I100" s="192" t="n">
        <f aca="false">'Transwestern DCF'!I33*$B$100</f>
        <v>61400</v>
      </c>
      <c r="J100" s="192" t="n">
        <f aca="false">'Transwestern DCF'!J33*$B$100</f>
        <v>20000</v>
      </c>
      <c r="K100" s="192" t="n">
        <f aca="false">'Transwestern DCF'!K33*$B$100</f>
        <v>20000</v>
      </c>
      <c r="L100" s="192" t="n">
        <f aca="false">'Transwestern DCF'!L33*$B$100</f>
        <v>20000</v>
      </c>
      <c r="M100" s="192" t="n">
        <f aca="false">'Transwestern DCF'!M33*$B$100</f>
        <v>20000</v>
      </c>
      <c r="N100" s="192" t="n">
        <f aca="false">'Transwestern DCF'!N33*$B$100</f>
        <v>20000</v>
      </c>
      <c r="O100" s="192" t="n">
        <f aca="false">'Transwestern DCF'!O33*$B$100</f>
        <v>20000</v>
      </c>
      <c r="P100" s="192" t="n">
        <f aca="false">'Transwestern DCF'!P33*$B$100</f>
        <v>20000</v>
      </c>
      <c r="Q100" s="192" t="n">
        <f aca="false">'Transwestern DCF'!Q33*$B$100</f>
        <v>20000</v>
      </c>
      <c r="R100" s="192" t="n">
        <f aca="false">'Transwestern DCF'!R33*$B$100</f>
        <v>20000</v>
      </c>
      <c r="S100" s="349" t="s">
        <v>177</v>
      </c>
      <c r="T100" s="187"/>
    </row>
    <row r="101" customFormat="false" ht="12.75" hidden="true" customHeight="false" outlineLevel="1" collapsed="false">
      <c r="A101" s="340" t="str">
        <f aca="false">A21</f>
        <v>Northern Border Partners</v>
      </c>
      <c r="B101" s="309" t="n">
        <f aca="false">B46</f>
        <v>1</v>
      </c>
      <c r="E101" s="317" t="n">
        <f aca="false">'NBP DCF'!C31*$B$101</f>
        <v>0</v>
      </c>
      <c r="F101" s="317" t="n">
        <f aca="false">'NBP DCF'!D31*$B$101</f>
        <v>0</v>
      </c>
      <c r="G101" s="317" t="n">
        <f aca="false">'NBP DCF'!E31*$B$101</f>
        <v>19721</v>
      </c>
      <c r="H101" s="192" t="n">
        <f aca="false">'NBP DCF'!F31*$B$101</f>
        <v>27594</v>
      </c>
      <c r="I101" s="192" t="n">
        <f aca="false">'NBP DCF'!G31*$B$101</f>
        <v>87226</v>
      </c>
      <c r="J101" s="192" t="n">
        <f aca="false">'NBP DCF'!H31*$B$101</f>
        <v>98479</v>
      </c>
      <c r="K101" s="192" t="n">
        <f aca="false">'NBP DCF'!I31*$B$101</f>
        <v>59635</v>
      </c>
      <c r="L101" s="192" t="n">
        <f aca="false">'NBP DCF'!J31*$B$101</f>
        <v>40949</v>
      </c>
      <c r="M101" s="192" t="n">
        <f aca="false">'NBP DCF'!K31*$B$101</f>
        <v>40949</v>
      </c>
      <c r="N101" s="192" t="n">
        <f aca="false">'NBP DCF'!L31*$B$101</f>
        <v>40949</v>
      </c>
      <c r="O101" s="192" t="n">
        <f aca="false">'NBP DCF'!M31*$B$101</f>
        <v>40949</v>
      </c>
      <c r="P101" s="192" t="n">
        <f aca="false">'NBP DCF'!N31*$B$101</f>
        <v>40949</v>
      </c>
      <c r="Q101" s="192" t="n">
        <f aca="false">'NBP DCF'!O31*$B$101</f>
        <v>40949</v>
      </c>
      <c r="R101" s="192" t="n">
        <f aca="false">'NBP DCF'!P31*$B$101</f>
        <v>40949</v>
      </c>
      <c r="S101" s="350" t="n">
        <f aca="false">Scenarios!C5</f>
        <v>9</v>
      </c>
      <c r="T101" s="187"/>
    </row>
    <row r="102" customFormat="false" ht="12.75" hidden="true" customHeight="false" outlineLevel="1" collapsed="false">
      <c r="A102" s="340" t="str">
        <f aca="false">A22</f>
        <v>Citrus</v>
      </c>
      <c r="B102" s="309" t="n">
        <f aca="false">B47</f>
        <v>1</v>
      </c>
      <c r="E102" s="317" t="n">
        <f aca="false">'Citrus DCF'!D33*'Unlev. Consolid'!$B$102</f>
        <v>43398</v>
      </c>
      <c r="F102" s="317" t="n">
        <f aca="false">'Citrus DCF'!E33*'Unlev. Consolid'!$B$102</f>
        <v>78412</v>
      </c>
      <c r="G102" s="317" t="n">
        <f aca="false">'Citrus DCF'!F33*'Unlev. Consolid'!$B$102</f>
        <v>246076</v>
      </c>
      <c r="H102" s="192" t="n">
        <f aca="false">'Citrus DCF'!G33*'Unlev. Consolid'!$B$102</f>
        <v>220271</v>
      </c>
      <c r="I102" s="192" t="n">
        <f aca="false">'Citrus DCF'!H33*'Unlev. Consolid'!$B$102</f>
        <v>288077</v>
      </c>
      <c r="J102" s="192" t="n">
        <f aca="false">'Citrus DCF'!I33*'Unlev. Consolid'!$B$102</f>
        <v>55294</v>
      </c>
      <c r="K102" s="192" t="n">
        <f aca="false">'Citrus DCF'!J33*'Unlev. Consolid'!$B$102</f>
        <v>25943</v>
      </c>
      <c r="L102" s="192" t="n">
        <f aca="false">'Citrus DCF'!K33*'Unlev. Consolid'!$B$102</f>
        <v>25943</v>
      </c>
      <c r="M102" s="192" t="n">
        <f aca="false">'Citrus DCF'!L33*'Unlev. Consolid'!$B$102</f>
        <v>25943</v>
      </c>
      <c r="N102" s="192" t="n">
        <f aca="false">'Citrus DCF'!M33*'Unlev. Consolid'!$B$102</f>
        <v>25943</v>
      </c>
      <c r="O102" s="192" t="n">
        <f aca="false">'Citrus DCF'!N33*'Unlev. Consolid'!$B$102</f>
        <v>25943</v>
      </c>
      <c r="P102" s="192" t="n">
        <f aca="false">'Citrus DCF'!O33*'Unlev. Consolid'!$B$102</f>
        <v>25943</v>
      </c>
      <c r="Q102" s="192" t="n">
        <f aca="false">'Citrus DCF'!P33*'Unlev. Consolid'!$B$102</f>
        <v>25943</v>
      </c>
      <c r="R102" s="192" t="n">
        <f aca="false">'Citrus DCF'!Q33*'Unlev. Consolid'!$B$102</f>
        <v>25943</v>
      </c>
      <c r="S102" s="351"/>
      <c r="T102" s="187"/>
    </row>
    <row r="103" customFormat="false" ht="12.75" hidden="true" customHeight="false" outlineLevel="1" collapsed="false">
      <c r="A103" s="340" t="str">
        <f aca="false">A96</f>
        <v>Trailblazer</v>
      </c>
      <c r="B103" s="309" t="n">
        <f aca="false">B48</f>
        <v>1</v>
      </c>
      <c r="E103" s="317" t="n">
        <f aca="false">'Trailblazer DCF'!E33</f>
        <v>103.386</v>
      </c>
      <c r="F103" s="317" t="n">
        <f aca="false">'Trailblazer DCF'!F33</f>
        <v>154</v>
      </c>
      <c r="G103" s="317" t="n">
        <f aca="false">'Trailblazer DCF'!G33</f>
        <v>163.9</v>
      </c>
      <c r="H103" s="192" t="n">
        <f aca="false">'Trailblazer DCF'!H33</f>
        <v>140.083887283868</v>
      </c>
      <c r="I103" s="192" t="n">
        <f aca="false">'Trailblazer DCF'!I33</f>
        <v>140.083887283868</v>
      </c>
      <c r="J103" s="192" t="n">
        <f aca="false">'Trailblazer DCF'!J33</f>
        <v>140.083887283868</v>
      </c>
      <c r="K103" s="192" t="n">
        <f aca="false">'Trailblazer DCF'!K33</f>
        <v>140.083887283868</v>
      </c>
      <c r="L103" s="192" t="n">
        <f aca="false">'Trailblazer DCF'!L33</f>
        <v>140.083887283868</v>
      </c>
      <c r="M103" s="192" t="n">
        <f aca="false">'Trailblazer DCF'!M33</f>
        <v>140.083887283868</v>
      </c>
      <c r="N103" s="192" t="n">
        <f aca="false">'Trailblazer DCF'!N33</f>
        <v>140.083887283868</v>
      </c>
      <c r="O103" s="192" t="n">
        <f aca="false">'Trailblazer DCF'!O33</f>
        <v>140.083887283868</v>
      </c>
      <c r="P103" s="192" t="n">
        <f aca="false">'Trailblazer DCF'!P33</f>
        <v>140.083887283868</v>
      </c>
      <c r="Q103" s="192" t="n">
        <f aca="false">'Trailblazer DCF'!Q33</f>
        <v>140.083887283868</v>
      </c>
      <c r="R103" s="192" t="n">
        <f aca="false">'Trailblazer DCF'!R33</f>
        <v>140.083887283868</v>
      </c>
      <c r="S103" s="351"/>
      <c r="T103" s="187"/>
    </row>
    <row r="104" customFormat="false" ht="12.75" hidden="false" customHeight="false" outlineLevel="0" collapsed="false">
      <c r="A104" s="341" t="s">
        <v>178</v>
      </c>
      <c r="B104" s="304" t="s">
        <v>159</v>
      </c>
      <c r="E104" s="352" t="n">
        <f aca="false">SUM(E99:E103)</f>
        <v>219258.386</v>
      </c>
      <c r="F104" s="352" t="n">
        <f aca="false">SUM(F99:F103)</f>
        <v>221351</v>
      </c>
      <c r="G104" s="352" t="n">
        <f aca="false">SUM(G99:G103)</f>
        <v>362646.9</v>
      </c>
      <c r="H104" s="348" t="n">
        <f aca="false">SUM(H99:H103)</f>
        <v>405741.083887284</v>
      </c>
      <c r="I104" s="348" t="n">
        <f aca="false">SUM(I99:I103)</f>
        <v>536343.083887284</v>
      </c>
      <c r="J104" s="348" t="n">
        <f aca="false">SUM(J99:J103)</f>
        <v>238913.083887284</v>
      </c>
      <c r="K104" s="348" t="n">
        <f aca="false">SUM(K99:K103)</f>
        <v>170718.083887284</v>
      </c>
      <c r="L104" s="348" t="n">
        <f aca="false">SUM(L99:L103)</f>
        <v>152032.083887284</v>
      </c>
      <c r="M104" s="348" t="n">
        <f aca="false">SUM(M99:M103)</f>
        <v>152032.083887284</v>
      </c>
      <c r="N104" s="348" t="n">
        <f aca="false">SUM(N99:N103)</f>
        <v>152032.083887284</v>
      </c>
      <c r="O104" s="348" t="n">
        <f aca="false">SUM(O99:O103)</f>
        <v>152032.083887284</v>
      </c>
      <c r="P104" s="348" t="n">
        <f aca="false">SUM(P99:P103)</f>
        <v>152032.083887284</v>
      </c>
      <c r="Q104" s="348" t="n">
        <f aca="false">SUM(Q99:Q103)</f>
        <v>152032.083887284</v>
      </c>
      <c r="R104" s="348" t="n">
        <f aca="false">SUM(R99:R103)</f>
        <v>152032.083887284</v>
      </c>
      <c r="T104" s="187"/>
    </row>
    <row r="105" customFormat="false" ht="12.75" hidden="false" customHeight="false" outlineLevel="0" collapsed="false">
      <c r="A105" s="348"/>
      <c r="B105" s="304"/>
      <c r="E105" s="317"/>
      <c r="F105" s="317"/>
      <c r="G105" s="352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T105" s="187"/>
    </row>
    <row r="106" customFormat="false" ht="12.75" hidden="false" customHeight="false" outlineLevel="0" collapsed="false">
      <c r="A106" s="344" t="str">
        <f aca="false">A99</f>
        <v>Northern Natural</v>
      </c>
      <c r="B106" s="304"/>
      <c r="E106" s="317" t="n">
        <f aca="false">E92-E99</f>
        <v>92038.96</v>
      </c>
      <c r="F106" s="317" t="n">
        <f aca="false">F92-F99</f>
        <v>89126.83</v>
      </c>
      <c r="G106" s="317" t="n">
        <f aca="false">G92-G99</f>
        <v>163949.73</v>
      </c>
      <c r="H106" s="192" t="n">
        <f aca="false">H92-H99</f>
        <v>122913.41775</v>
      </c>
      <c r="I106" s="192" t="n">
        <f aca="false">I92-I99</f>
        <v>118963.068025</v>
      </c>
      <c r="J106" s="192" t="n">
        <f aca="false">J92-J99</f>
        <v>153469.756153969</v>
      </c>
      <c r="K106" s="192" t="n">
        <f aca="false">K92-K99</f>
        <v>163386.107906969</v>
      </c>
      <c r="L106" s="192" t="n">
        <f aca="false">L92-L99</f>
        <v>160004.152410329</v>
      </c>
      <c r="M106" s="192" t="n">
        <f aca="false">M92-M99</f>
        <v>167559.154681936</v>
      </c>
      <c r="N106" s="192" t="n">
        <f aca="false">N92-N99</f>
        <v>175188.042766265</v>
      </c>
      <c r="O106" s="192" t="n">
        <f aca="false">O92-O99</f>
        <v>183003.534203601</v>
      </c>
      <c r="P106" s="192" t="n">
        <f aca="false">P92-P99</f>
        <v>180481.110409956</v>
      </c>
      <c r="Q106" s="192" t="n">
        <f aca="false">Q92-Q99</f>
        <v>188711.172243339</v>
      </c>
      <c r="R106" s="192" t="n">
        <f aca="false">R92-R99</f>
        <v>197093.468750745</v>
      </c>
      <c r="T106" s="187"/>
    </row>
    <row r="107" customFormat="false" ht="12.75" hidden="false" customHeight="false" outlineLevel="0" collapsed="false">
      <c r="A107" s="344" t="str">
        <f aca="false">A100</f>
        <v>Transwestern</v>
      </c>
      <c r="B107" s="304"/>
      <c r="E107" s="317" t="n">
        <f aca="false">E93-E100</f>
        <v>79612.7975</v>
      </c>
      <c r="F107" s="317" t="n">
        <f aca="false">F93-F100</f>
        <v>60651.4925</v>
      </c>
      <c r="G107" s="317" t="n">
        <f aca="false">G93-G100</f>
        <v>76735.7725</v>
      </c>
      <c r="H107" s="192" t="n">
        <f aca="false">H93-H100</f>
        <v>42164.490075</v>
      </c>
      <c r="I107" s="192" t="n">
        <f aca="false">I93-I100</f>
        <v>48808.533725</v>
      </c>
      <c r="J107" s="192" t="n">
        <f aca="false">J93-J100</f>
        <v>102337.3700825</v>
      </c>
      <c r="K107" s="192" t="n">
        <f aca="false">K93-K100</f>
        <v>109978.6652055</v>
      </c>
      <c r="L107" s="192" t="n">
        <f aca="false">L93-L100</f>
        <v>113232.30848377</v>
      </c>
      <c r="M107" s="192" t="n">
        <f aca="false">M93-M100</f>
        <v>120609.372947228</v>
      </c>
      <c r="N107" s="192" t="n">
        <f aca="false">N93-N100</f>
        <v>121891.413253955</v>
      </c>
      <c r="O107" s="192" t="n">
        <f aca="false">O93-O100</f>
        <v>123319.880716994</v>
      </c>
      <c r="P107" s="192" t="n">
        <f aca="false">P93-P100</f>
        <v>121126.558462309</v>
      </c>
      <c r="Q107" s="192" t="n">
        <f aca="false">Q93-Q100</f>
        <v>121592.995261208</v>
      </c>
      <c r="R107" s="192" t="n">
        <f aca="false">R93-R100</f>
        <v>122059.359767751</v>
      </c>
      <c r="T107" s="187"/>
    </row>
    <row r="108" customFormat="false" ht="12.75" hidden="false" customHeight="false" outlineLevel="0" collapsed="false">
      <c r="A108" s="344" t="str">
        <f aca="false">A101</f>
        <v>Northern Border Partners</v>
      </c>
      <c r="B108" s="304"/>
      <c r="E108" s="317" t="n">
        <f aca="false">E94-E101</f>
        <v>0</v>
      </c>
      <c r="F108" s="317" t="n">
        <f aca="false">F94-F101</f>
        <v>0</v>
      </c>
      <c r="G108" s="317" t="n">
        <f aca="false">G94-G101</f>
        <v>161797.48</v>
      </c>
      <c r="H108" s="192" t="n">
        <f aca="false">H94-H101</f>
        <v>200829.31645</v>
      </c>
      <c r="I108" s="192" t="n">
        <f aca="false">I94-I101</f>
        <v>162231.712275</v>
      </c>
      <c r="J108" s="192" t="n">
        <f aca="false">J94-J101</f>
        <v>156098.7742675</v>
      </c>
      <c r="K108" s="192" t="n">
        <f aca="false">K94-K101</f>
        <v>206216.12344</v>
      </c>
      <c r="L108" s="192" t="n">
        <f aca="false">L94-L101</f>
        <v>221089.1382005</v>
      </c>
      <c r="M108" s="192" t="n">
        <f aca="false">M94-M101</f>
        <v>222129.99829</v>
      </c>
      <c r="N108" s="192" t="n">
        <f aca="false">N94-N101</f>
        <v>222729.3175875</v>
      </c>
      <c r="O108" s="192" t="n">
        <f aca="false">O94-O101</f>
        <v>223320.027515</v>
      </c>
      <c r="P108" s="192" t="n">
        <f aca="false">P94-P101</f>
        <v>214530.276083</v>
      </c>
      <c r="Q108" s="192" t="n">
        <f aca="false">Q94-Q101</f>
        <v>215337.2850935</v>
      </c>
      <c r="R108" s="192" t="n">
        <f aca="false">R94-R101</f>
        <v>216246.756156</v>
      </c>
      <c r="T108" s="187"/>
    </row>
    <row r="109" customFormat="false" ht="12.75" hidden="false" customHeight="false" outlineLevel="0" collapsed="false">
      <c r="A109" s="344" t="str">
        <f aca="false">A102</f>
        <v>Citrus</v>
      </c>
      <c r="B109" s="304"/>
      <c r="E109" s="317" t="n">
        <f aca="false">E95-E102</f>
        <v>210959.665</v>
      </c>
      <c r="F109" s="317" t="n">
        <f aca="false">F95-F102</f>
        <v>168379.05</v>
      </c>
      <c r="G109" s="317" t="n">
        <f aca="false">G95-G102</f>
        <v>14356.3</v>
      </c>
      <c r="H109" s="192" t="n">
        <f aca="false">H95-H102</f>
        <v>25407.732</v>
      </c>
      <c r="I109" s="192" t="n">
        <f aca="false">I95-I102</f>
        <v>-10164.39455</v>
      </c>
      <c r="J109" s="192" t="n">
        <f aca="false">J95-J102</f>
        <v>226712.501005</v>
      </c>
      <c r="K109" s="192" t="n">
        <f aca="false">K95-K102</f>
        <v>255116.2146375</v>
      </c>
      <c r="L109" s="192" t="n">
        <f aca="false">L95-L102</f>
        <v>237774.5463605</v>
      </c>
      <c r="M109" s="192" t="n">
        <f aca="false">M95-M102</f>
        <v>236262.2735985</v>
      </c>
      <c r="N109" s="192" t="n">
        <f aca="false">N95-N102</f>
        <v>235175.0285165</v>
      </c>
      <c r="O109" s="192" t="n">
        <f aca="false">O95-O102</f>
        <v>234723.967868</v>
      </c>
      <c r="P109" s="192" t="n">
        <f aca="false">P95-P102</f>
        <v>221415.621047</v>
      </c>
      <c r="Q109" s="192" t="n">
        <f aca="false">Q95-Q102</f>
        <v>221966.632354</v>
      </c>
      <c r="R109" s="192" t="n">
        <f aca="false">R95-R102</f>
        <v>222568.012056</v>
      </c>
      <c r="T109" s="187"/>
    </row>
    <row r="110" customFormat="false" ht="12.75" hidden="false" customHeight="false" outlineLevel="0" collapsed="false">
      <c r="A110" s="344" t="str">
        <f aca="false">A103</f>
        <v>Trailblazer</v>
      </c>
      <c r="B110" s="304"/>
      <c r="E110" s="317" t="n">
        <f aca="false">E96-E103</f>
        <v>36910.93524</v>
      </c>
      <c r="F110" s="317" t="n">
        <f aca="false">F96-F103</f>
        <v>31969.8713</v>
      </c>
      <c r="G110" s="317" t="n">
        <f aca="false">G96-G103</f>
        <v>23598.80967</v>
      </c>
      <c r="H110" s="192" t="n">
        <f aca="false">H96-H103</f>
        <v>20382.8113233211</v>
      </c>
      <c r="I110" s="192" t="n">
        <f aca="false">I96-I103</f>
        <v>20388.3475056514</v>
      </c>
      <c r="J110" s="192" t="n">
        <f aca="false">J96-J103</f>
        <v>20392.8716095788</v>
      </c>
      <c r="K110" s="192" t="n">
        <f aca="false">K96-K103</f>
        <v>19303.8803263384</v>
      </c>
      <c r="L110" s="192" t="n">
        <f aca="false">L96-L103</f>
        <v>19307.547231627</v>
      </c>
      <c r="M110" s="192" t="n">
        <f aca="false">M96-M103</f>
        <v>19310.8430292816</v>
      </c>
      <c r="N110" s="192" t="n">
        <f aca="false">N96-N103</f>
        <v>19313.9947764101</v>
      </c>
      <c r="O110" s="192" t="n">
        <f aca="false">O96-O103</f>
        <v>19317.1767819097</v>
      </c>
      <c r="P110" s="192" t="n">
        <f aca="false">P96-P103</f>
        <v>18227.2989657094</v>
      </c>
      <c r="Q110" s="192" t="n">
        <f aca="false">Q96-Q103</f>
        <v>18230.4800542887</v>
      </c>
      <c r="R110" s="192" t="n">
        <f aca="false">R96-R103</f>
        <v>18233.6683699384</v>
      </c>
      <c r="T110" s="187"/>
    </row>
    <row r="111" customFormat="false" ht="12.75" hidden="false" customHeight="false" outlineLevel="0" collapsed="false">
      <c r="A111" s="345" t="s">
        <v>179</v>
      </c>
      <c r="B111" s="197"/>
      <c r="C111" s="197"/>
      <c r="D111" s="197"/>
      <c r="E111" s="312" t="n">
        <f aca="false">SUM(E106:E110)</f>
        <v>419522.35774</v>
      </c>
      <c r="F111" s="312" t="n">
        <f aca="false">SUM(F106:F110)</f>
        <v>350127.2438</v>
      </c>
      <c r="G111" s="312" t="n">
        <f aca="false">SUM(G106:G110)</f>
        <v>440438.09217</v>
      </c>
      <c r="H111" s="199" t="n">
        <f aca="false">SUM(H106:H110)</f>
        <v>411697.767598321</v>
      </c>
      <c r="I111" s="199" t="n">
        <f aca="false">SUM(I106:I110)</f>
        <v>340227.266980651</v>
      </c>
      <c r="J111" s="199" t="n">
        <f aca="false">SUM(J106:J110)</f>
        <v>659011.273118547</v>
      </c>
      <c r="K111" s="199" t="n">
        <f aca="false">SUM(K106:K110)</f>
        <v>754000.991516307</v>
      </c>
      <c r="L111" s="199" t="n">
        <f aca="false">SUM(L106:L110)</f>
        <v>751407.692686725</v>
      </c>
      <c r="M111" s="199" t="n">
        <f aca="false">SUM(M106:M110)</f>
        <v>765871.642546946</v>
      </c>
      <c r="N111" s="199" t="n">
        <f aca="false">SUM(N106:N110)</f>
        <v>774297.796900631</v>
      </c>
      <c r="O111" s="199" t="n">
        <f aca="false">SUM(O106:O110)</f>
        <v>783684.587085505</v>
      </c>
      <c r="P111" s="199" t="n">
        <f aca="false">SUM(P106:P110)</f>
        <v>755780.864967975</v>
      </c>
      <c r="Q111" s="199" t="n">
        <f aca="false">SUM(Q106:Q110)</f>
        <v>765838.565006335</v>
      </c>
      <c r="R111" s="199" t="n">
        <f aca="false">SUM(R106:R110)+S111</f>
        <v>11853385.0885714</v>
      </c>
      <c r="S111" s="353" t="n">
        <f aca="false">S101*R32</f>
        <v>11077183.823471</v>
      </c>
      <c r="T111" s="187"/>
    </row>
    <row r="112" customFormat="false" ht="13.5" hidden="true" customHeight="false" outlineLevel="1" collapsed="false">
      <c r="A112" s="354"/>
      <c r="B112" s="16"/>
      <c r="C112" s="16"/>
      <c r="D112" s="16"/>
      <c r="E112" s="355" t="s">
        <v>180</v>
      </c>
      <c r="F112" s="356" t="e">
        <f aca="false">IRR(H112:S112)</f>
        <v>#N/A</v>
      </c>
      <c r="G112" s="192"/>
      <c r="H112" s="192" t="n">
        <v>0</v>
      </c>
      <c r="I112" s="192" t="n">
        <f aca="false">I111</f>
        <v>340227.266980651</v>
      </c>
      <c r="J112" s="192" t="n">
        <f aca="false">J111</f>
        <v>659011.273118547</v>
      </c>
      <c r="K112" s="192" t="n">
        <f aca="false">K111</f>
        <v>754000.991516307</v>
      </c>
      <c r="L112" s="192" t="n">
        <f aca="false">L111</f>
        <v>751407.692686725</v>
      </c>
      <c r="M112" s="192" t="n">
        <f aca="false">M111</f>
        <v>765871.642546946</v>
      </c>
      <c r="N112" s="192" t="n">
        <f aca="false">N111</f>
        <v>774297.796900631</v>
      </c>
      <c r="O112" s="192" t="n">
        <f aca="false">O111</f>
        <v>783684.587085505</v>
      </c>
      <c r="P112" s="192" t="n">
        <f aca="false">P111</f>
        <v>755780.864967975</v>
      </c>
      <c r="Q112" s="192" t="n">
        <f aca="false">Q111</f>
        <v>765838.565006335</v>
      </c>
      <c r="R112" s="192" t="n">
        <f aca="false">R111</f>
        <v>11853385.0885714</v>
      </c>
      <c r="S112" s="192" t="n">
        <f aca="false">S111</f>
        <v>11077183.823471</v>
      </c>
      <c r="T112" s="187"/>
    </row>
    <row r="113" customFormat="false" ht="12.75" hidden="false" customHeight="false" outlineLevel="0" collapsed="false"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</row>
    <row r="114" customFormat="false" ht="13.5" hidden="false" customHeight="false" outlineLevel="0" collapsed="false">
      <c r="O114" s="357"/>
    </row>
    <row r="115" customFormat="false" ht="15" hidden="false" customHeight="false" outlineLevel="0" collapsed="false">
      <c r="K115" s="358" t="s">
        <v>181</v>
      </c>
      <c r="L115" s="359" t="str">
        <f aca="false">(Assumptions!D8-1&amp;" EBITDA")</f>
        <v>2001 EBITDA</v>
      </c>
      <c r="M115" s="360"/>
      <c r="N115" s="361" t="s">
        <v>182</v>
      </c>
      <c r="O115" s="361"/>
      <c r="P115" s="361"/>
    </row>
    <row r="116" customFormat="false" ht="15" hidden="false" customHeight="false" outlineLevel="0" collapsed="false">
      <c r="K116" s="362" t="s">
        <v>183</v>
      </c>
      <c r="L116" s="363" t="s">
        <v>136</v>
      </c>
      <c r="M116" s="364" t="s">
        <v>64</v>
      </c>
      <c r="N116" s="365" t="n">
        <f aca="false">CDRate-0.025</f>
        <v>0.05</v>
      </c>
      <c r="O116" s="366" t="n">
        <f aca="false">Scenarios!C6</f>
        <v>0.075</v>
      </c>
      <c r="P116" s="367" t="n">
        <f aca="false">CDRate+0.025</f>
        <v>0.1</v>
      </c>
    </row>
    <row r="117" customFormat="false" ht="13.5" hidden="false" customHeight="false" outlineLevel="0" collapsed="false">
      <c r="J117" s="368" t="s">
        <v>184</v>
      </c>
      <c r="K117" s="369"/>
      <c r="L117" s="370"/>
      <c r="M117" s="371"/>
      <c r="N117" s="369"/>
      <c r="O117" s="370"/>
      <c r="P117" s="372"/>
    </row>
    <row r="118" customFormat="false" ht="13.5" hidden="false" customHeight="false" outlineLevel="0" collapsed="false">
      <c r="J118" s="146" t="n">
        <f aca="false">IF(ABS(K118-O118)&lt;0.05,0,1)</f>
        <v>0</v>
      </c>
      <c r="K118" s="373" t="n">
        <v>10138316.6111767</v>
      </c>
      <c r="L118" s="374" t="n">
        <f aca="false">K118/H32</f>
        <v>10.5148184593145</v>
      </c>
      <c r="M118" s="375" t="n">
        <f aca="false">Assumptions!D7</f>
        <v>0</v>
      </c>
      <c r="N118" s="376" t="n">
        <f aca="false">NPV(N116,$I111:$R111)</f>
        <v>12208270.219595</v>
      </c>
      <c r="O118" s="377" t="n">
        <f aca="false">NPV(O116,$I111:$R111)</f>
        <v>10138316.6111767</v>
      </c>
      <c r="P118" s="378" t="n">
        <f aca="false">NPV(P116,$I111:$R111)</f>
        <v>8495780.40338398</v>
      </c>
    </row>
    <row r="119" customFormat="false" ht="12.75" hidden="false" customHeight="false" outlineLevel="0" collapsed="false">
      <c r="J119" s="379"/>
      <c r="K119" s="380"/>
      <c r="L119" s="381"/>
      <c r="M119" s="204"/>
      <c r="N119" s="344" t="s">
        <v>109</v>
      </c>
      <c r="O119" s="382" t="n">
        <f aca="false">'Valuation Summary'!E11</f>
        <v>3703148</v>
      </c>
      <c r="P119" s="383"/>
    </row>
    <row r="120" customFormat="false" ht="12.75" hidden="false" customHeight="false" outlineLevel="0" collapsed="false">
      <c r="G120" s="187"/>
      <c r="H120" s="187"/>
      <c r="I120" s="187"/>
      <c r="J120" s="187"/>
      <c r="K120" s="158"/>
      <c r="L120" s="384"/>
      <c r="M120" s="187"/>
      <c r="N120" s="340" t="s">
        <v>185</v>
      </c>
      <c r="O120" s="385" t="n">
        <f aca="false">CNPVPrice-O119</f>
        <v>6435168.61117669</v>
      </c>
      <c r="P120" s="187"/>
      <c r="Q120" s="187"/>
      <c r="R120" s="187"/>
    </row>
    <row r="121" customFormat="false" ht="12.75" hidden="false" customHeight="false" outlineLevel="0" collapsed="false">
      <c r="A121" s="386"/>
      <c r="K121" s="387"/>
      <c r="L121" s="388"/>
      <c r="M121" s="16"/>
    </row>
    <row r="122" customFormat="false" ht="12.75" hidden="false" customHeight="false" outlineLevel="0" collapsed="false">
      <c r="K122" s="192"/>
      <c r="L122" s="389"/>
      <c r="M122" s="16"/>
    </row>
    <row r="124" customFormat="false" ht="12.75" hidden="false" customHeight="false" outlineLevel="0" collapsed="false">
      <c r="K124" s="16"/>
      <c r="L124" s="16"/>
      <c r="M124" s="187"/>
    </row>
    <row r="125" customFormat="false" ht="12.75" hidden="false" customHeight="false" outlineLevel="0" collapsed="false">
      <c r="K125" s="16"/>
      <c r="L125" s="16"/>
      <c r="M125" s="187"/>
    </row>
    <row r="126" customFormat="false" ht="12.75" hidden="false" customHeight="false" outlineLevel="0" collapsed="false">
      <c r="K126" s="16"/>
      <c r="L126" s="16"/>
      <c r="M126" s="187"/>
    </row>
  </sheetData>
  <mergeCells count="2">
    <mergeCell ref="A2:C2"/>
    <mergeCell ref="N115:P115"/>
  </mergeCells>
  <conditionalFormatting sqref="D25:D31">
    <cfRule type="cellIs" priority="2" operator="notBetween" aboveAverage="0" equalAverage="0" bottom="0" percent="0" rank="0" text="" dxfId="0">
      <formula>0.25</formula>
      <formula>-0.25</formula>
    </cfRule>
  </conditionalFormatting>
  <printOptions headings="false" gridLines="false" gridLinesSet="true" horizontalCentered="false" verticalCentered="false"/>
  <pageMargins left="0.5" right="0.170138888888889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4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28.14"/>
    <col collapsed="false" customWidth="true" hidden="false" outlineLevel="0" max="2" min="2" style="0" width="13.14"/>
    <col collapsed="false" customWidth="true" hidden="false" outlineLevel="0" max="3" min="3" style="0" width="13.28"/>
    <col collapsed="false" customWidth="true" hidden="false" outlineLevel="0" max="6" min="4" style="0" width="11.7"/>
    <col collapsed="false" customWidth="true" hidden="false" outlineLevel="0" max="7" min="7" style="0" width="11.99"/>
    <col collapsed="false" customWidth="true" hidden="false" outlineLevel="0" max="8" min="8" style="0" width="11.7"/>
    <col collapsed="false" customWidth="true" hidden="false" outlineLevel="0" max="11" min="9" style="0" width="11.85"/>
    <col collapsed="false" customWidth="true" hidden="false" outlineLevel="0" max="12" min="12" style="0" width="10.56"/>
    <col collapsed="false" customWidth="true" hidden="false" outlineLevel="0" max="13" min="13" style="0" width="11.42"/>
    <col collapsed="false" customWidth="true" hidden="false" outlineLevel="0" max="14" min="14" style="0" width="13.41"/>
    <col collapsed="false" customWidth="true" hidden="false" outlineLevel="0" max="15" min="15" style="0" width="13.28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</row>
    <row r="2" customFormat="false" ht="16.5" hidden="false" customHeight="false" outlineLevel="0" collapsed="false">
      <c r="A2" s="58" t="s">
        <v>186</v>
      </c>
      <c r="B2" s="28"/>
      <c r="C2" s="30"/>
    </row>
    <row r="3" customFormat="false" ht="13.5" hidden="false" customHeight="false" outlineLevel="0" collapsed="false"/>
    <row r="4" customFormat="false" ht="12.75" hidden="false" customHeight="false" outlineLevel="0" collapsed="false">
      <c r="A4" s="390" t="s">
        <v>187</v>
      </c>
      <c r="B4" s="391"/>
      <c r="C4" s="392" t="s">
        <v>188</v>
      </c>
      <c r="D4" s="393" t="s">
        <v>189</v>
      </c>
      <c r="F4" s="394" t="s">
        <v>190</v>
      </c>
      <c r="G4" s="394"/>
      <c r="H4" s="394"/>
      <c r="J4" s="395" t="s">
        <v>191</v>
      </c>
      <c r="K4" s="396"/>
      <c r="L4" s="396"/>
      <c r="M4" s="397"/>
    </row>
    <row r="5" customFormat="false" ht="12.75" hidden="false" customHeight="false" outlineLevel="0" collapsed="false">
      <c r="A5" s="398" t="s">
        <v>192</v>
      </c>
      <c r="B5" s="16"/>
      <c r="C5" s="176" t="n">
        <f aca="false">CPurPrice</f>
        <v>10138316.6111767</v>
      </c>
      <c r="D5" s="399" t="n">
        <f aca="false">C5*(Assumptions!$D$13)</f>
        <v>0</v>
      </c>
      <c r="F5" s="15"/>
      <c r="G5" s="16"/>
      <c r="H5" s="18"/>
      <c r="J5" s="400"/>
      <c r="K5" s="16"/>
      <c r="L5" s="16"/>
      <c r="M5" s="18"/>
    </row>
    <row r="6" customFormat="false" ht="12.75" hidden="false" customHeight="false" outlineLevel="0" collapsed="false">
      <c r="A6" s="398"/>
      <c r="B6" s="16"/>
      <c r="C6" s="184"/>
      <c r="D6" s="18"/>
      <c r="F6" s="401" t="n">
        <f aca="false">G6-0.025</f>
        <v>0.05</v>
      </c>
      <c r="G6" s="402" t="n">
        <f aca="false">ConsDRate</f>
        <v>0.075</v>
      </c>
      <c r="H6" s="403" t="n">
        <f aca="false">G6+0.025</f>
        <v>0.1</v>
      </c>
      <c r="J6" s="400"/>
      <c r="K6" s="16"/>
      <c r="L6" s="16"/>
      <c r="M6" s="18"/>
    </row>
    <row r="7" customFormat="false" ht="13.5" hidden="false" customHeight="false" outlineLevel="0" collapsed="false">
      <c r="A7" s="24" t="s">
        <v>193</v>
      </c>
      <c r="B7" s="16"/>
      <c r="C7" s="236" t="n">
        <f aca="false">C5+D5</f>
        <v>10138316.6111767</v>
      </c>
      <c r="D7" s="18"/>
      <c r="F7" s="404" t="n">
        <f aca="false">NPV(F$6,E33:N33)</f>
        <v>0</v>
      </c>
      <c r="G7" s="405" t="n">
        <f aca="false">NPV(G$6,E33:N33)</f>
        <v>0</v>
      </c>
      <c r="H7" s="406" t="n">
        <f aca="false">NPV(H$6,E33:N33)</f>
        <v>0</v>
      </c>
      <c r="J7" s="400"/>
      <c r="K7" s="16"/>
      <c r="L7" s="16"/>
      <c r="M7" s="18"/>
    </row>
    <row r="8" customFormat="false" ht="12.75" hidden="false" customHeight="false" outlineLevel="0" collapsed="false">
      <c r="A8" s="15" t="s">
        <v>194</v>
      </c>
      <c r="B8" s="407" t="n">
        <f aca="false">Assumptions!D44</f>
        <v>0.365262611340977</v>
      </c>
      <c r="C8" s="184" t="n">
        <f aca="false">C7*$B$8</f>
        <v>3703148</v>
      </c>
      <c r="D8" s="18"/>
      <c r="G8" s="185" t="n">
        <f aca="false">G7+C33</f>
        <v>3363259.10111681</v>
      </c>
      <c r="J8" s="15"/>
      <c r="K8" s="16"/>
      <c r="L8" s="16"/>
      <c r="M8" s="18"/>
    </row>
    <row r="9" customFormat="false" ht="13.5" hidden="false" customHeight="false" outlineLevel="0" collapsed="false">
      <c r="A9" s="27" t="s">
        <v>195</v>
      </c>
      <c r="B9" s="408" t="n">
        <f aca="false">1-B8</f>
        <v>0.634737388659023</v>
      </c>
      <c r="C9" s="409" t="n">
        <f aca="false">C7-C8</f>
        <v>6435168.61117668</v>
      </c>
      <c r="D9" s="30"/>
      <c r="F9" s="410"/>
      <c r="G9" s="411"/>
      <c r="J9" s="15"/>
      <c r="K9" s="16"/>
      <c r="L9" s="16"/>
      <c r="M9" s="18"/>
    </row>
    <row r="10" customFormat="false" ht="13.5" hidden="false" customHeight="false" outlineLevel="0" collapsed="false">
      <c r="J10" s="27"/>
      <c r="K10" s="28"/>
      <c r="L10" s="28"/>
      <c r="M10" s="30"/>
    </row>
    <row r="12" customFormat="false" ht="12.75" hidden="false" customHeight="false" outlineLevel="0" collapsed="false">
      <c r="C12" s="412"/>
      <c r="E12" s="294" t="s">
        <v>156</v>
      </c>
      <c r="F12" s="293"/>
      <c r="G12" s="293"/>
      <c r="H12" s="296"/>
      <c r="I12" s="293"/>
      <c r="J12" s="296"/>
      <c r="K12" s="296"/>
      <c r="L12" s="296"/>
      <c r="M12" s="296"/>
      <c r="N12" s="75"/>
    </row>
    <row r="13" customFormat="false" ht="12.75" hidden="false" customHeight="false" outlineLevel="0" collapsed="false">
      <c r="C13" s="412"/>
      <c r="D13" s="413"/>
      <c r="E13" s="298" t="n">
        <v>2002</v>
      </c>
      <c r="F13" s="298" t="n">
        <v>2003</v>
      </c>
      <c r="G13" s="298" t="n">
        <v>2004</v>
      </c>
      <c r="H13" s="298" t="n">
        <v>2005</v>
      </c>
      <c r="I13" s="298" t="n">
        <v>2006</v>
      </c>
      <c r="J13" s="299" t="n">
        <v>2007</v>
      </c>
      <c r="K13" s="299" t="n">
        <v>2008</v>
      </c>
      <c r="L13" s="299" t="n">
        <v>2009</v>
      </c>
      <c r="M13" s="299" t="n">
        <v>2010</v>
      </c>
      <c r="N13" s="414" t="n">
        <v>2011</v>
      </c>
    </row>
    <row r="14" customFormat="false" ht="12.75" hidden="false" customHeight="false" outlineLevel="0" collapsed="false">
      <c r="C14" s="415" t="s">
        <v>196</v>
      </c>
      <c r="D14" s="297"/>
      <c r="E14" s="298" t="n">
        <v>1</v>
      </c>
      <c r="F14" s="298" t="n">
        <v>2</v>
      </c>
      <c r="G14" s="298" t="n">
        <v>3</v>
      </c>
      <c r="H14" s="298" t="n">
        <v>4</v>
      </c>
      <c r="I14" s="298" t="n">
        <v>5</v>
      </c>
      <c r="J14" s="298" t="n">
        <v>6</v>
      </c>
      <c r="K14" s="298" t="n">
        <v>7</v>
      </c>
      <c r="L14" s="298" t="n">
        <v>8</v>
      </c>
      <c r="M14" s="298" t="n">
        <v>9</v>
      </c>
      <c r="N14" s="298" t="n">
        <v>10</v>
      </c>
    </row>
    <row r="15" customFormat="false" ht="12.75" hidden="false" customHeight="false" outlineLevel="0" collapsed="false">
      <c r="A15" s="197" t="s">
        <v>197</v>
      </c>
      <c r="B15" s="197"/>
      <c r="C15" s="197"/>
      <c r="D15" s="416"/>
      <c r="E15" s="416" t="n">
        <f aca="false">'Unlev. Consolid'!I32</f>
        <v>1026986.2145957</v>
      </c>
      <c r="F15" s="416" t="n">
        <f aca="false">'Unlev. Consolid'!J32</f>
        <v>1093100.98928101</v>
      </c>
      <c r="G15" s="416" t="n">
        <f aca="false">'Unlev. Consolid'!K32</f>
        <v>1127798.32868101</v>
      </c>
      <c r="H15" s="416" t="n">
        <f aca="false">'Unlev. Consolid'!L32</f>
        <v>1149655.39744301</v>
      </c>
      <c r="I15" s="416" t="n">
        <f aca="false">'Unlev. Consolid'!M32</f>
        <v>1171425.80659271</v>
      </c>
      <c r="J15" s="416" t="n">
        <f aca="false">'Unlev. Consolid'!N32</f>
        <v>1183484.39118468</v>
      </c>
      <c r="K15" s="416" t="n">
        <f aca="false">'Unlev. Consolid'!O32</f>
        <v>1195858.61149098</v>
      </c>
      <c r="L15" s="416" t="n">
        <f aca="false">'Unlev. Consolid'!P32</f>
        <v>1208558.50342703</v>
      </c>
      <c r="M15" s="416" t="n">
        <f aca="false">'Unlev. Consolid'!Q32</f>
        <v>1219555.85823561</v>
      </c>
      <c r="N15" s="416" t="n">
        <f aca="false">'Unlev. Consolid'!R32</f>
        <v>1230798.20260789</v>
      </c>
    </row>
    <row r="16" customFormat="false" ht="12.75" hidden="false" customHeight="false" outlineLevel="0" collapsed="false">
      <c r="A16" s="0" t="s">
        <v>198</v>
      </c>
      <c r="D16" s="187" t="n">
        <v>0</v>
      </c>
      <c r="E16" s="187" t="n">
        <f aca="false">'Unlev. Consolid'!I57</f>
        <v>222415.899035942</v>
      </c>
      <c r="F16" s="187" t="n">
        <f aca="false">'Unlev. Consolid'!J57</f>
        <v>215395.712055884</v>
      </c>
      <c r="G16" s="187" t="n">
        <f aca="false">'Unlev. Consolid'!K57</f>
        <v>219375.442575827</v>
      </c>
      <c r="H16" s="187" t="n">
        <f aca="false">'Unlev. Consolid'!L57</f>
        <v>222073.918095769</v>
      </c>
      <c r="I16" s="187" t="n">
        <f aca="false">'Unlev. Consolid'!M57</f>
        <v>219951.958615711</v>
      </c>
      <c r="J16" s="187" t="n">
        <f aca="false">'Unlev. Consolid'!N57</f>
        <v>223029.999135653</v>
      </c>
      <c r="K16" s="187" t="n">
        <f aca="false">'Unlev. Consolid'!O57</f>
        <v>226108.039655596</v>
      </c>
      <c r="L16" s="187" t="n">
        <f aca="false">'Unlev. Consolid'!P57</f>
        <v>229186.080175538</v>
      </c>
      <c r="M16" s="187" t="n">
        <f aca="false">'Unlev. Consolid'!Q57</f>
        <v>232264.12069548</v>
      </c>
      <c r="N16" s="187" t="n">
        <f aca="false">'Unlev. Consolid'!R57</f>
        <v>235342.161215422</v>
      </c>
    </row>
    <row r="17" customFormat="false" ht="12.75" hidden="false" customHeight="false" outlineLevel="0" collapsed="false">
      <c r="A17" s="0" t="s">
        <v>199</v>
      </c>
      <c r="D17" s="192" t="n">
        <v>0</v>
      </c>
      <c r="E17" s="192" t="n">
        <f aca="false">'Unlev. Consolid'!I41+'Unlev. Consolid'!I49</f>
        <v>73386.5</v>
      </c>
      <c r="F17" s="192" t="n">
        <f aca="false">'Unlev. Consolid'!J41+'Unlev. Consolid'!J49</f>
        <v>55052.5</v>
      </c>
      <c r="G17" s="192" t="n">
        <f aca="false">'Unlev. Consolid'!K41+'Unlev. Consolid'!K49</f>
        <v>47456.5</v>
      </c>
      <c r="H17" s="192" t="n">
        <f aca="false">'Unlev. Consolid'!L41+'Unlev. Consolid'!L49</f>
        <v>46689.5</v>
      </c>
      <c r="I17" s="192" t="n">
        <f aca="false">'Unlev. Consolid'!M41+'Unlev. Consolid'!M49</f>
        <v>46689.5</v>
      </c>
      <c r="J17" s="192" t="n">
        <f aca="false">'Unlev. Consolid'!N41+'Unlev. Consolid'!N49</f>
        <v>46689.5</v>
      </c>
      <c r="K17" s="192" t="n">
        <f aca="false">'Unlev. Consolid'!O41+'Unlev. Consolid'!O49</f>
        <v>46689.5</v>
      </c>
      <c r="L17" s="192" t="n">
        <f aca="false">'Unlev. Consolid'!P41+'Unlev. Consolid'!P49</f>
        <v>46689.5</v>
      </c>
      <c r="M17" s="192" t="n">
        <f aca="false">'Unlev. Consolid'!Q41+'Unlev. Consolid'!Q49</f>
        <v>46689.5</v>
      </c>
      <c r="N17" s="192" t="n">
        <f aca="false">'Unlev. Consolid'!R41+'Unlev. Consolid'!R49</f>
        <v>46689.5</v>
      </c>
    </row>
    <row r="18" customFormat="false" ht="12.75" hidden="false" customHeight="false" outlineLevel="0" collapsed="false">
      <c r="A18" s="197" t="s">
        <v>200</v>
      </c>
      <c r="B18" s="197"/>
      <c r="C18" s="197"/>
      <c r="D18" s="417" t="n">
        <v>0</v>
      </c>
      <c r="E18" s="417" t="n">
        <f aca="false">E15-E16+E17</f>
        <v>877956.815559757</v>
      </c>
      <c r="F18" s="417" t="n">
        <f aca="false">F15-F16+F17</f>
        <v>932757.77722513</v>
      </c>
      <c r="G18" s="417" t="n">
        <f aca="false">G15-G16+G17</f>
        <v>955879.386105187</v>
      </c>
      <c r="H18" s="417" t="n">
        <f aca="false">H15-H16+H17</f>
        <v>974270.979347245</v>
      </c>
      <c r="I18" s="417" t="n">
        <f aca="false">I15-I16+I17</f>
        <v>998163.347977003</v>
      </c>
      <c r="J18" s="417" t="n">
        <f aca="false">J15-J16+J17</f>
        <v>1007143.89204902</v>
      </c>
      <c r="K18" s="417" t="n">
        <f aca="false">K15-K16+K17</f>
        <v>1016440.07183538</v>
      </c>
      <c r="L18" s="417" t="n">
        <f aca="false">L15-L16+L17</f>
        <v>1026061.92325149</v>
      </c>
      <c r="M18" s="417" t="n">
        <f aca="false">M15-M16+M17</f>
        <v>1033981.23754013</v>
      </c>
      <c r="N18" s="417" t="n">
        <f aca="false">N15-N16+N17</f>
        <v>1042145.54139247</v>
      </c>
    </row>
    <row r="19" customFormat="false" ht="15" hidden="false" customHeight="false" outlineLevel="0" collapsed="false">
      <c r="A19" s="0" t="s">
        <v>201</v>
      </c>
      <c r="B19" s="418" t="n">
        <f aca="false">Assumptions!D17</f>
        <v>0.075</v>
      </c>
      <c r="D19" s="192" t="n">
        <v>1</v>
      </c>
      <c r="E19" s="192" t="n">
        <f aca="false">Debt!E28</f>
        <v>271324.82346798</v>
      </c>
      <c r="F19" s="192" t="n">
        <f aca="false">Debt!F28</f>
        <v>244192.341121182</v>
      </c>
      <c r="G19" s="192" t="n">
        <f aca="false">Debt!G28</f>
        <v>217059.858774384</v>
      </c>
      <c r="H19" s="192" t="n">
        <f aca="false">Debt!H28</f>
        <v>189927.376427586</v>
      </c>
      <c r="I19" s="192" t="n">
        <f aca="false">Debt!I28</f>
        <v>162794.894080788</v>
      </c>
      <c r="J19" s="192" t="n">
        <f aca="false">Debt!J28</f>
        <v>135662.41173399</v>
      </c>
      <c r="K19" s="192" t="n">
        <f aca="false">Debt!K28</f>
        <v>108529.929387192</v>
      </c>
      <c r="L19" s="192" t="n">
        <f aca="false">Debt!L28</f>
        <v>81397.447040394</v>
      </c>
      <c r="M19" s="192" t="n">
        <f aca="false">Debt!M28</f>
        <v>54264.964693596</v>
      </c>
      <c r="N19" s="192" t="n">
        <f aca="false">Debt!N28</f>
        <v>27132.4823467981</v>
      </c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</row>
    <row r="20" customFormat="false" ht="12.75" hidden="false" customHeight="false" outlineLevel="0" collapsed="false">
      <c r="A20" s="197" t="s">
        <v>202</v>
      </c>
      <c r="B20" s="197"/>
      <c r="C20" s="197"/>
      <c r="D20" s="416" t="n">
        <v>0</v>
      </c>
      <c r="E20" s="416" t="n">
        <f aca="false">E18-E19</f>
        <v>606631.992091777</v>
      </c>
      <c r="F20" s="416" t="n">
        <f aca="false">F18-F19</f>
        <v>688565.436103948</v>
      </c>
      <c r="G20" s="416" t="n">
        <f aca="false">G18-G19</f>
        <v>738819.527330804</v>
      </c>
      <c r="H20" s="416" t="n">
        <f aca="false">H18-H19</f>
        <v>784343.602919659</v>
      </c>
      <c r="I20" s="416" t="n">
        <f aca="false">I18-I19</f>
        <v>835368.453896215</v>
      </c>
      <c r="J20" s="416" t="n">
        <f aca="false">J18-J19</f>
        <v>871481.480315032</v>
      </c>
      <c r="K20" s="416" t="n">
        <f aca="false">K18-K19</f>
        <v>907910.142448188</v>
      </c>
      <c r="L20" s="416" t="n">
        <f aca="false">L18-L19</f>
        <v>944664.476211093</v>
      </c>
      <c r="M20" s="416" t="n">
        <f aca="false">M18-M19</f>
        <v>979716.272846537</v>
      </c>
      <c r="N20" s="416" t="n">
        <f aca="false">N18-N19</f>
        <v>1015013.05904567</v>
      </c>
    </row>
    <row r="21" customFormat="false" ht="12.75" hidden="false" customHeight="false" outlineLevel="0" collapsed="false">
      <c r="A21" s="419" t="s">
        <v>173</v>
      </c>
      <c r="B21" s="16"/>
      <c r="C21" s="16"/>
      <c r="D21" s="187"/>
      <c r="E21" s="187" t="n">
        <f aca="false">'Unlev. Consolid'!I71</f>
        <v>223802.363727764</v>
      </c>
      <c r="F21" s="187" t="n">
        <f aca="false">'Unlev. Consolid'!J71</f>
        <v>250229.132275183</v>
      </c>
      <c r="G21" s="187" t="n">
        <f aca="false">'Unlev. Consolid'!K71</f>
        <v>250535.753277423</v>
      </c>
      <c r="H21" s="187" t="n">
        <f aca="false">'Unlev. Consolid'!L71</f>
        <v>292905.120869005</v>
      </c>
      <c r="I21" s="187" t="n">
        <f aca="false">'Unlev. Consolid'!M71</f>
        <v>300211.580158484</v>
      </c>
      <c r="J21" s="187" t="n">
        <f aca="false">'Unlev. Consolid'!N71</f>
        <v>303844.010396761</v>
      </c>
      <c r="K21" s="187" t="n">
        <f aca="false">'Unlev. Consolid'!O71</f>
        <v>306831.440518187</v>
      </c>
      <c r="L21" s="187" t="n">
        <f aca="false">'Unlev. Consolid'!P71</f>
        <v>347435.054571766</v>
      </c>
      <c r="M21" s="187" t="n">
        <f aca="false">'Unlev. Consolid'!Q71</f>
        <v>348374.709341993</v>
      </c>
      <c r="N21" s="187" t="n">
        <f aca="false">'Unlev. Consolid'!R71</f>
        <v>349254.353620169</v>
      </c>
    </row>
    <row r="22" customFormat="false" ht="15" hidden="false" customHeight="false" outlineLevel="0" collapsed="false">
      <c r="A22" s="419" t="s">
        <v>125</v>
      </c>
      <c r="B22" s="16"/>
      <c r="C22" s="16"/>
      <c r="D22" s="339"/>
      <c r="E22" s="339" t="n">
        <f aca="false">E23-E21</f>
        <v>9750.95322757028</v>
      </c>
      <c r="F22" s="339" t="n">
        <f aca="false">F23-F21</f>
        <v>14868.5606248371</v>
      </c>
      <c r="G22" s="339" t="n">
        <f aca="false">G23-G21</f>
        <v>33909.7647449363</v>
      </c>
      <c r="H22" s="339" t="n">
        <f aca="false">H23-H21</f>
        <v>9067.16625506419</v>
      </c>
      <c r="I22" s="339" t="n">
        <f aca="false">I23-I21</f>
        <v>21405.2745915584</v>
      </c>
      <c r="J22" s="339" t="n">
        <f aca="false">J23-J21</f>
        <v>31676.3595245263</v>
      </c>
      <c r="K22" s="339" t="n">
        <f aca="false">K23-K21</f>
        <v>42713.9643243654</v>
      </c>
      <c r="L22" s="339" t="n">
        <f aca="false">L23-L21</f>
        <v>16260.7687695045</v>
      </c>
      <c r="M22" s="339" t="n">
        <f aca="false">M23-M21</f>
        <v>28816.0557039234</v>
      </c>
      <c r="N22" s="339" t="n">
        <f aca="false">N23-N21</f>
        <v>41525.6741124124</v>
      </c>
    </row>
    <row r="23" customFormat="false" ht="12.75" hidden="false" customHeight="false" outlineLevel="0" collapsed="false">
      <c r="A23" s="0" t="s">
        <v>203</v>
      </c>
      <c r="B23" s="420" t="n">
        <f aca="false">Assumptions!D10</f>
        <v>0.385</v>
      </c>
      <c r="D23" s="192"/>
      <c r="E23" s="192" t="n">
        <f aca="false">E20*$B$23</f>
        <v>233553.316955334</v>
      </c>
      <c r="F23" s="192" t="n">
        <f aca="false">F20*$B$23</f>
        <v>265097.69290002</v>
      </c>
      <c r="G23" s="192" t="n">
        <f aca="false">G20*$B$23</f>
        <v>284445.518022359</v>
      </c>
      <c r="H23" s="192" t="n">
        <f aca="false">H20*$B$23</f>
        <v>301972.287124069</v>
      </c>
      <c r="I23" s="192" t="n">
        <f aca="false">I20*$B$23</f>
        <v>321616.854750043</v>
      </c>
      <c r="J23" s="192" t="n">
        <f aca="false">J20*$B$23</f>
        <v>335520.369921287</v>
      </c>
      <c r="K23" s="192" t="n">
        <f aca="false">K20*$B$23</f>
        <v>349545.404842552</v>
      </c>
      <c r="L23" s="192" t="n">
        <f aca="false">L20*$B$23</f>
        <v>363695.823341271</v>
      </c>
      <c r="M23" s="192" t="n">
        <f aca="false">M20*$B$23</f>
        <v>377190.765045917</v>
      </c>
      <c r="N23" s="192" t="n">
        <f aca="false">N20*$B$23</f>
        <v>390780.027732582</v>
      </c>
    </row>
    <row r="24" customFormat="false" ht="12.75" hidden="false" customHeight="false" outlineLevel="0" collapsed="false">
      <c r="A24" s="172" t="s">
        <v>204</v>
      </c>
      <c r="B24" s="172"/>
      <c r="C24" s="172"/>
      <c r="D24" s="199"/>
      <c r="E24" s="199" t="n">
        <f aca="false">E20-E23</f>
        <v>373078.675136443</v>
      </c>
      <c r="F24" s="199" t="n">
        <f aca="false">F20-F23</f>
        <v>423467.743203928</v>
      </c>
      <c r="G24" s="199" t="n">
        <f aca="false">G20-G23</f>
        <v>454374.009308444</v>
      </c>
      <c r="H24" s="199" t="n">
        <f aca="false">H20-H23</f>
        <v>482371.31579559</v>
      </c>
      <c r="I24" s="199" t="n">
        <f aca="false">I20-I23</f>
        <v>513751.599146172</v>
      </c>
      <c r="J24" s="199" t="n">
        <f aca="false">J20-J23</f>
        <v>535961.110393745</v>
      </c>
      <c r="K24" s="199" t="n">
        <f aca="false">K20-K23</f>
        <v>558364.737605635</v>
      </c>
      <c r="L24" s="199" t="n">
        <f aca="false">L20-L23</f>
        <v>580968.652869822</v>
      </c>
      <c r="M24" s="199" t="n">
        <f aca="false">M20-M23</f>
        <v>602525.50780062</v>
      </c>
      <c r="N24" s="199" t="n">
        <f aca="false">N20-N23</f>
        <v>624233.031313085</v>
      </c>
    </row>
    <row r="25" customFormat="false" ht="12.75" hidden="false" customHeight="false" outlineLevel="0" collapsed="false">
      <c r="A25" s="421" t="s">
        <v>205</v>
      </c>
      <c r="B25" s="422" t="n">
        <f aca="false">B33</f>
        <v>0</v>
      </c>
      <c r="C25" s="172"/>
      <c r="D25" s="199"/>
      <c r="E25" s="199" t="n">
        <f aca="false">E24*$B$25</f>
        <v>0</v>
      </c>
      <c r="F25" s="199" t="n">
        <f aca="false">F24*$B$25</f>
        <v>0</v>
      </c>
      <c r="G25" s="199" t="n">
        <f aca="false">G24*$B$25</f>
        <v>0</v>
      </c>
      <c r="H25" s="199" t="n">
        <f aca="false">H24*$B$25</f>
        <v>0</v>
      </c>
      <c r="I25" s="199" t="n">
        <f aca="false">I24*$B$25</f>
        <v>0</v>
      </c>
      <c r="J25" s="199" t="n">
        <f aca="false">J24*$B$25</f>
        <v>0</v>
      </c>
      <c r="K25" s="199" t="n">
        <f aca="false">K24*$B$25</f>
        <v>0</v>
      </c>
      <c r="L25" s="199" t="n">
        <f aca="false">L24*$B$25</f>
        <v>0</v>
      </c>
      <c r="M25" s="199" t="n">
        <f aca="false">M24*$B$25</f>
        <v>0</v>
      </c>
      <c r="N25" s="199" t="n">
        <f aca="false">N24*$B$25</f>
        <v>0</v>
      </c>
    </row>
    <row r="26" customFormat="false" ht="12.75" hidden="true" customHeight="false" outlineLevel="1" collapsed="false">
      <c r="A26" s="197" t="s">
        <v>206</v>
      </c>
      <c r="B26" s="423" t="n">
        <f aca="false">'Valuation Summary'!E24</f>
        <v>0.578550131169228</v>
      </c>
      <c r="C26" s="424"/>
      <c r="D26" s="416"/>
      <c r="E26" s="416" t="n">
        <f aca="false">E24*$B$26</f>
        <v>215844.716436631</v>
      </c>
      <c r="F26" s="416" t="n">
        <f aca="false">F24*$B$26</f>
        <v>244997.31837657</v>
      </c>
      <c r="G26" s="416" t="n">
        <f aca="false">G24*$B$26</f>
        <v>262878.142685288</v>
      </c>
      <c r="H26" s="416" t="n">
        <f aca="false">H24*$B$26</f>
        <v>279075.988025812</v>
      </c>
      <c r="I26" s="416" t="n">
        <f aca="false">I24*$B$26</f>
        <v>297231.055074419</v>
      </c>
      <c r="J26" s="416" t="n">
        <f aca="false">J24*$B$26</f>
        <v>310080.370719906</v>
      </c>
      <c r="K26" s="416" t="n">
        <f aca="false">K24*$B$26</f>
        <v>323041.992182012</v>
      </c>
      <c r="L26" s="416" t="n">
        <f aca="false">L24*$B$26</f>
        <v>336119.490323045</v>
      </c>
      <c r="M26" s="416" t="n">
        <f aca="false">M24*$B$26</f>
        <v>348591.211570855</v>
      </c>
      <c r="N26" s="416" t="n">
        <f aca="false">N24*$B$26</f>
        <v>361150.10214635</v>
      </c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</row>
    <row r="27" customFormat="false" ht="12.75" hidden="false" customHeight="false" outlineLevel="0" collapsed="false"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</row>
    <row r="28" customFormat="false" ht="12.75" hidden="false" customHeight="false" outlineLevel="0" collapsed="false">
      <c r="A28" s="204" t="s">
        <v>207</v>
      </c>
      <c r="D28" s="187"/>
      <c r="E28" s="187" t="n">
        <f aca="false">E22</f>
        <v>9750.95322757028</v>
      </c>
      <c r="F28" s="187" t="n">
        <f aca="false">F22</f>
        <v>14868.5606248371</v>
      </c>
      <c r="G28" s="187" t="n">
        <f aca="false">G22</f>
        <v>33909.7647449363</v>
      </c>
      <c r="H28" s="187" t="n">
        <f aca="false">H22</f>
        <v>9067.16625506419</v>
      </c>
      <c r="I28" s="187" t="n">
        <f aca="false">I22</f>
        <v>21405.2745915584</v>
      </c>
      <c r="J28" s="187" t="n">
        <f aca="false">J22</f>
        <v>31676.3595245263</v>
      </c>
      <c r="K28" s="187" t="n">
        <f aca="false">K22</f>
        <v>42713.9643243654</v>
      </c>
      <c r="L28" s="187" t="n">
        <f aca="false">L22</f>
        <v>16260.7687695045</v>
      </c>
      <c r="M28" s="187" t="n">
        <f aca="false">M22</f>
        <v>28816.0557039234</v>
      </c>
      <c r="N28" s="187" t="n">
        <f aca="false">N22</f>
        <v>41525.6741124124</v>
      </c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</row>
    <row r="29" customFormat="false" ht="12.75" hidden="false" customHeight="false" outlineLevel="0" collapsed="false">
      <c r="A29" s="146" t="s">
        <v>208</v>
      </c>
      <c r="D29" s="187"/>
      <c r="E29" s="187" t="n">
        <f aca="false">E24+E16+E28</f>
        <v>605245.527399955</v>
      </c>
      <c r="F29" s="187" t="n">
        <f aca="false">F24+F16+F28</f>
        <v>653732.01588465</v>
      </c>
      <c r="G29" s="187" t="n">
        <f aca="false">G24+G16+G28</f>
        <v>707659.216629207</v>
      </c>
      <c r="H29" s="187" t="n">
        <f aca="false">H24+H16+H28</f>
        <v>713512.400146423</v>
      </c>
      <c r="I29" s="187" t="n">
        <f aca="false">I24+I16+I28</f>
        <v>755108.832353442</v>
      </c>
      <c r="J29" s="187" t="n">
        <f aca="false">J24+J16+J28</f>
        <v>790667.469053925</v>
      </c>
      <c r="K29" s="187" t="n">
        <f aca="false">K24+K16+K28</f>
        <v>827186.741585596</v>
      </c>
      <c r="L29" s="187" t="n">
        <f aca="false">L24+L16+L28</f>
        <v>826415.501814865</v>
      </c>
      <c r="M29" s="187" t="n">
        <f aca="false">M24+M16+M28</f>
        <v>863605.684200023</v>
      </c>
      <c r="N29" s="187" t="n">
        <f aca="false">N24+N16+N28</f>
        <v>901100.86664092</v>
      </c>
      <c r="O29" s="187" t="n">
        <f aca="false">'Unlev. Consolid'!S111</f>
        <v>11077183.823471</v>
      </c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</row>
    <row r="30" customFormat="false" ht="12.75" hidden="false" customHeight="false" outlineLevel="0" collapsed="false">
      <c r="A30" s="0" t="s">
        <v>209</v>
      </c>
      <c r="D30" s="187"/>
      <c r="E30" s="187" t="n">
        <f aca="false">'Unlev. Consolid'!I104</f>
        <v>536343.083887284</v>
      </c>
      <c r="F30" s="187" t="n">
        <f aca="false">'Unlev. Consolid'!J104</f>
        <v>238913.083887284</v>
      </c>
      <c r="G30" s="187" t="n">
        <f aca="false">'Unlev. Consolid'!K104</f>
        <v>170718.083887284</v>
      </c>
      <c r="H30" s="187" t="n">
        <f aca="false">'Unlev. Consolid'!L104</f>
        <v>152032.083887284</v>
      </c>
      <c r="I30" s="187" t="n">
        <f aca="false">'Unlev. Consolid'!M104</f>
        <v>152032.083887284</v>
      </c>
      <c r="J30" s="187" t="n">
        <f aca="false">'Unlev. Consolid'!N104</f>
        <v>152032.083887284</v>
      </c>
      <c r="K30" s="187" t="n">
        <f aca="false">'Unlev. Consolid'!O104</f>
        <v>152032.083887284</v>
      </c>
      <c r="L30" s="187" t="n">
        <f aca="false">'Unlev. Consolid'!P104</f>
        <v>152032.083887284</v>
      </c>
      <c r="M30" s="187" t="n">
        <f aca="false">'Unlev. Consolid'!Q104</f>
        <v>152032.083887284</v>
      </c>
      <c r="N30" s="187" t="n">
        <f aca="false">'Unlev. Consolid'!R104</f>
        <v>152032.083887284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</row>
    <row r="31" customFormat="false" ht="12.75" hidden="false" customHeight="false" outlineLevel="0" collapsed="false">
      <c r="A31" s="0" t="s">
        <v>210</v>
      </c>
      <c r="B31" s="425"/>
      <c r="D31" s="187"/>
      <c r="E31" s="187" t="n">
        <f aca="false">Debt!E25+Debt!E26</f>
        <v>361766.43129064</v>
      </c>
      <c r="F31" s="187" t="n">
        <f aca="false">Debt!F25+Debt!F26</f>
        <v>361766.43129064</v>
      </c>
      <c r="G31" s="187" t="n">
        <f aca="false">Debt!G25+Debt!G26</f>
        <v>361766.43129064</v>
      </c>
      <c r="H31" s="187" t="n">
        <f aca="false">Debt!H25+Debt!H26</f>
        <v>361766.43129064</v>
      </c>
      <c r="I31" s="187" t="n">
        <f aca="false">Debt!I25+Debt!I26</f>
        <v>361766.43129064</v>
      </c>
      <c r="J31" s="187" t="n">
        <f aca="false">Debt!J25+Debt!J26</f>
        <v>361766.43129064</v>
      </c>
      <c r="K31" s="187" t="n">
        <f aca="false">Debt!K25+Debt!K26</f>
        <v>361766.43129064</v>
      </c>
      <c r="L31" s="187" t="n">
        <f aca="false">Debt!L25+Debt!L26</f>
        <v>361766.43129064</v>
      </c>
      <c r="M31" s="187" t="n">
        <f aca="false">Debt!M25+Debt!M26</f>
        <v>361766.43129064</v>
      </c>
      <c r="N31" s="187" t="n">
        <f aca="false">Debt!N25+Debt!N26</f>
        <v>361766.431290641</v>
      </c>
      <c r="O31" s="187" t="n">
        <f aca="false">Debt!P25+Debt!P26</f>
        <v>0</v>
      </c>
    </row>
    <row r="32" customFormat="false" ht="12.75" hidden="false" customHeight="false" outlineLevel="0" collapsed="false">
      <c r="A32" s="172" t="s">
        <v>211</v>
      </c>
      <c r="B32" s="426"/>
      <c r="C32" s="172"/>
      <c r="D32" s="199"/>
      <c r="E32" s="199" t="n">
        <f aca="false">(E29-E30-E31)</f>
        <v>-292863.987777968</v>
      </c>
      <c r="F32" s="199" t="n">
        <f aca="false">(F29-F30-F31)</f>
        <v>53052.500706726</v>
      </c>
      <c r="G32" s="199" t="n">
        <f aca="false">(G29-G30-G31)</f>
        <v>175174.701451284</v>
      </c>
      <c r="H32" s="199" t="n">
        <f aca="false">(H29-H30-H31)</f>
        <v>199713.8849685</v>
      </c>
      <c r="I32" s="199" t="n">
        <f aca="false">(I29-I30-I31)</f>
        <v>241310.317175518</v>
      </c>
      <c r="J32" s="199" t="n">
        <f aca="false">(J29-J30-J31)</f>
        <v>276868.953876001</v>
      </c>
      <c r="K32" s="199" t="n">
        <f aca="false">(K29-K30-K31)</f>
        <v>313388.226407673</v>
      </c>
      <c r="L32" s="199" t="n">
        <f aca="false">(L29-L30-L31)</f>
        <v>312616.986636941</v>
      </c>
      <c r="M32" s="199" t="n">
        <f aca="false">(M29-M30-M31)</f>
        <v>349807.1690221</v>
      </c>
      <c r="N32" s="199" t="n">
        <f aca="false">(N29-N30-N31)</f>
        <v>387302.351462995</v>
      </c>
      <c r="O32" s="416" t="n">
        <f aca="false">(O29-O30-O31)</f>
        <v>11077183.823471</v>
      </c>
    </row>
    <row r="33" customFormat="false" ht="12.75" hidden="false" customHeight="false" outlineLevel="0" collapsed="false">
      <c r="A33" s="172" t="s">
        <v>212</v>
      </c>
      <c r="B33" s="427" t="n">
        <f aca="false">'Valuation Summary'!G11*(1-'Valuation Summary'!E23)</f>
        <v>0</v>
      </c>
      <c r="C33" s="346" t="n">
        <f aca="false">'Valuation Summary'!M21</f>
        <v>3363259.10111681</v>
      </c>
      <c r="D33" s="346"/>
      <c r="E33" s="346" t="n">
        <f aca="false">$B$33*E32</f>
        <v>-0</v>
      </c>
      <c r="F33" s="346" t="n">
        <f aca="false">$B$33*F32</f>
        <v>0</v>
      </c>
      <c r="G33" s="346" t="n">
        <f aca="false">$B$33*G32</f>
        <v>0</v>
      </c>
      <c r="H33" s="346" t="n">
        <f aca="false">$B$33*H32</f>
        <v>0</v>
      </c>
      <c r="I33" s="346" t="n">
        <f aca="false">$B$33*I32</f>
        <v>0</v>
      </c>
      <c r="J33" s="346" t="n">
        <f aca="false">$B$33*J32</f>
        <v>0</v>
      </c>
      <c r="K33" s="346" t="n">
        <f aca="false">$B$33*K32</f>
        <v>0</v>
      </c>
      <c r="L33" s="346" t="n">
        <f aca="false">$B$33*L32</f>
        <v>0</v>
      </c>
      <c r="M33" s="346" t="n">
        <f aca="false">$B$33*M32</f>
        <v>0</v>
      </c>
      <c r="N33" s="346" t="n">
        <f aca="false">$B$33*N32+O33</f>
        <v>0</v>
      </c>
      <c r="O33" s="428" t="n">
        <f aca="false">$B$33*O32</f>
        <v>0</v>
      </c>
    </row>
    <row r="34" customFormat="false" ht="12.75" hidden="false" customHeight="false" outlineLevel="1" collapsed="false">
      <c r="A34" s="75" t="s">
        <v>213</v>
      </c>
      <c r="B34" s="429" t="n">
        <f aca="false">B26</f>
        <v>0.578550131169228</v>
      </c>
      <c r="C34" s="430" t="n">
        <f aca="false">NPV(G6,E34:N34)</f>
        <v>3772524.2424732</v>
      </c>
      <c r="D34" s="431"/>
      <c r="E34" s="194" t="n">
        <f aca="false">$B$34*E32</f>
        <v>-169436.498543687</v>
      </c>
      <c r="F34" s="194" t="n">
        <f aca="false">$B$34*F32</f>
        <v>30693.5312427319</v>
      </c>
      <c r="G34" s="194" t="n">
        <f aca="false">$B$34*G32</f>
        <v>101347.34650217</v>
      </c>
      <c r="H34" s="194" t="n">
        <f aca="false">$B$34*H32</f>
        <v>115544.494344842</v>
      </c>
      <c r="I34" s="194" t="n">
        <f aca="false">$B$34*I32</f>
        <v>139610.115654384</v>
      </c>
      <c r="J34" s="194" t="n">
        <f aca="false">$B$34*J32</f>
        <v>160182.569581647</v>
      </c>
      <c r="K34" s="194" t="n">
        <f aca="false">$B$34*K32</f>
        <v>181310.799495051</v>
      </c>
      <c r="L34" s="194" t="n">
        <f aca="false">$B$34*L32</f>
        <v>180864.598624531</v>
      </c>
      <c r="M34" s="194" t="n">
        <f aca="false">$B$34*M32</f>
        <v>202380.983521672</v>
      </c>
      <c r="N34" s="194" t="n">
        <f aca="false">$B$34*N32+O34</f>
        <v>6632779.98029586</v>
      </c>
      <c r="O34" s="194" t="n">
        <f aca="false">$B$34*O32</f>
        <v>6408706.15405479</v>
      </c>
    </row>
    <row r="35" customFormat="false" ht="12.75" hidden="false" customHeight="false" outlineLevel="0" collapsed="false">
      <c r="B35" s="70"/>
      <c r="C35" s="185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</row>
    <row r="36" customFormat="false" ht="15" hidden="false" customHeight="false" outlineLevel="0" collapsed="false">
      <c r="A36" s="433" t="s">
        <v>214</v>
      </c>
      <c r="C36" s="185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</row>
    <row r="37" customFormat="false" ht="12.75" hidden="false" customHeight="false" outlineLevel="0" collapsed="false">
      <c r="A37" s="0" t="s">
        <v>215</v>
      </c>
      <c r="B37" s="185"/>
      <c r="D37" s="434"/>
      <c r="E37" s="434" t="n">
        <f aca="false">E15/E19</f>
        <v>3.78508019085433</v>
      </c>
      <c r="F37" s="434" t="n">
        <f aca="false">F15/F19</f>
        <v>4.4763934211129</v>
      </c>
      <c r="G37" s="434" t="n">
        <f aca="false">G15/G19</f>
        <v>5.19579407749117</v>
      </c>
      <c r="H37" s="434" t="n">
        <f aca="false">H15/H19</f>
        <v>6.05313156569267</v>
      </c>
      <c r="I37" s="434" t="n">
        <f aca="false">I15/I19</f>
        <v>7.19571589273179</v>
      </c>
      <c r="J37" s="434" t="n">
        <f aca="false">J15/J19</f>
        <v>8.72374577495556</v>
      </c>
      <c r="K37" s="434" t="n">
        <f aca="false">K15/K19</f>
        <v>11.0186988809753</v>
      </c>
      <c r="L37" s="434" t="n">
        <f aca="false">L15/L19</f>
        <v>14.8476217297979</v>
      </c>
      <c r="M37" s="434" t="n">
        <f aca="false">M15/M19</f>
        <v>22.4740929091498</v>
      </c>
      <c r="N37" s="434" t="n">
        <f aca="false">N15/N19</f>
        <v>45.3625358297943</v>
      </c>
      <c r="O37" s="187"/>
      <c r="P37" s="187"/>
      <c r="Q37" s="187"/>
      <c r="R37" s="187"/>
      <c r="S37" s="187"/>
      <c r="T37" s="187"/>
      <c r="U37" s="187"/>
    </row>
    <row r="38" customFormat="false" ht="12.75" hidden="false" customHeight="false" outlineLevel="0" collapsed="false">
      <c r="A38" s="146" t="s">
        <v>216</v>
      </c>
      <c r="B38" s="185"/>
      <c r="D38" s="434"/>
      <c r="E38" s="434" t="n">
        <f aca="false">E15/(E19+E31)</f>
        <v>1.62217722465186</v>
      </c>
      <c r="F38" s="434" t="n">
        <f aca="false">F15/(F19+F31)</f>
        <v>1.80391973686639</v>
      </c>
      <c r="G38" s="434" t="n">
        <f aca="false">G15/(G19+G31)</f>
        <v>1.94842277905919</v>
      </c>
      <c r="H38" s="434" t="n">
        <f aca="false">H15/(H19+H31)</f>
        <v>2.08386496523846</v>
      </c>
      <c r="I38" s="434" t="n">
        <f aca="false">I15/(I19+I31)</f>
        <v>2.23315320808918</v>
      </c>
      <c r="J38" s="434" t="n">
        <f aca="false">J15/(J19+J31)</f>
        <v>2.3792033931697</v>
      </c>
      <c r="K38" s="434" t="n">
        <f aca="false">K15/(K19+K31)</f>
        <v>2.54277666484044</v>
      </c>
      <c r="L38" s="434" t="n">
        <f aca="false">L15/(L19+L31)</f>
        <v>2.727114195269</v>
      </c>
      <c r="M38" s="434" t="n">
        <f aca="false">M15/(M19+M31)</f>
        <v>2.93140342293259</v>
      </c>
      <c r="N38" s="434" t="n">
        <f aca="false">N15/(N19+N31)</f>
        <v>3.16482808114844</v>
      </c>
      <c r="O38" s="187"/>
    </row>
    <row r="39" customFormat="false" ht="12.75" hidden="false" customHeight="false" outlineLevel="0" collapsed="false">
      <c r="A39" s="146" t="s">
        <v>217</v>
      </c>
      <c r="B39" s="185"/>
      <c r="D39" s="434"/>
      <c r="E39" s="434" t="n">
        <f aca="false">(E15-E30)/(E31+E19+E23)</f>
        <v>0.566141122580478</v>
      </c>
      <c r="F39" s="434" t="n">
        <f aca="false">(F15-F30)/(F31+F19+F23)</f>
        <v>0.980634366898279</v>
      </c>
      <c r="G39" s="434" t="n">
        <f aca="false">(G15-G30)/(G31+G19+G23)</f>
        <v>1.10866616496395</v>
      </c>
      <c r="H39" s="434" t="n">
        <f aca="false">(H15-H30)/(H31+H19+H23)</f>
        <v>1.168634105985</v>
      </c>
      <c r="I39" s="434" t="n">
        <f aca="false">(I15-I30)/(I31+I19+I23)</f>
        <v>1.20470339067251</v>
      </c>
      <c r="J39" s="434" t="n">
        <f aca="false">(J15-J30)/(J31+J19+J23)</f>
        <v>1.23831356253933</v>
      </c>
      <c r="K39" s="434" t="n">
        <f aca="false">(K15-K30)/(K31+K19+K23)</f>
        <v>1.27320486891899</v>
      </c>
      <c r="L39" s="434" t="n">
        <f aca="false">(L15-L30)/(L31+L19+L23)</f>
        <v>1.30943014919443</v>
      </c>
      <c r="M39" s="434" t="n">
        <f aca="false">(M15-M30)/(M31+M19+M23)</f>
        <v>1.34580679511266</v>
      </c>
      <c r="N39" s="434" t="n">
        <f aca="false">(N15-N30)/(N31+N19+N23)</f>
        <v>1.38360299538813</v>
      </c>
      <c r="O39" s="187"/>
    </row>
    <row r="40" customFormat="false" ht="12.75" hidden="false" customHeight="false" outlineLevel="0" collapsed="false">
      <c r="A40" s="146"/>
      <c r="B40" s="185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187"/>
    </row>
    <row r="41" customFormat="false" ht="12.75" hidden="false" customHeight="false" outlineLevel="0" collapsed="false">
      <c r="B41" s="185"/>
      <c r="D41" s="16"/>
      <c r="E41" s="16"/>
      <c r="F41" s="16"/>
      <c r="G41" s="16"/>
      <c r="H41" s="16"/>
      <c r="I41" s="435"/>
      <c r="J41" s="435"/>
      <c r="K41" s="435"/>
      <c r="L41" s="435"/>
      <c r="M41" s="435"/>
      <c r="N41" s="436"/>
      <c r="O41" s="436"/>
      <c r="P41" s="436"/>
      <c r="Q41" s="436"/>
      <c r="R41" s="436"/>
      <c r="S41" s="436"/>
    </row>
    <row r="42" customFormat="false" ht="12.75" hidden="false" customHeight="false" outlineLevel="0" collapsed="false">
      <c r="B42" s="185"/>
      <c r="D42" s="16"/>
      <c r="E42" s="16"/>
      <c r="F42" s="16"/>
      <c r="G42" s="16"/>
      <c r="H42" s="16"/>
      <c r="I42" s="435"/>
      <c r="J42" s="435"/>
      <c r="K42" s="435"/>
      <c r="L42" s="435"/>
      <c r="M42" s="435"/>
      <c r="N42" s="436"/>
      <c r="O42" s="436"/>
      <c r="P42" s="436"/>
      <c r="Q42" s="436"/>
      <c r="R42" s="436"/>
      <c r="S42" s="436"/>
    </row>
  </sheetData>
  <mergeCells count="1">
    <mergeCell ref="F4:H4"/>
  </mergeCells>
  <printOptions headings="false" gridLines="false" gridLinesSet="true" horizontalCentered="false" verticalCentered="false"/>
  <pageMargins left="0.170138888888889" right="0.170138888888889" top="0.8" bottom="0.770138888888889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63"/>
  <sheetViews>
    <sheetView showFormulas="false" showGridLines="false" showRowColHeaders="true" showZeros="true" rightToLeft="false" tabSelected="false" showOutlineSymbols="true" defaultGridColor="true" view="normal" topLeftCell="A7" colorId="64" zoomScale="75" zoomScaleNormal="75" zoomScalePageLayoutView="75" workbookViewId="0">
      <pane xSplit="1" ySplit="4" topLeftCell="E37" activePane="bottomRight" state="frozen"/>
      <selection pane="topLeft" activeCell="A7" activeCellId="0" sqref="A7"/>
      <selection pane="topRight" activeCell="E7" activeCellId="0" sqref="E7"/>
      <selection pane="bottomLeft" activeCell="A37" activeCellId="0" sqref="A37"/>
      <selection pane="bottomRight" activeCell="H43" activeCellId="0" sqref="H43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38.85"/>
    <col collapsed="false" customWidth="true" hidden="false" outlineLevel="1" max="2" min="2" style="0" width="15.85"/>
    <col collapsed="false" customWidth="true" hidden="false" outlineLevel="1" max="3" min="3" style="0" width="12.85"/>
    <col collapsed="false" customWidth="true" hidden="false" outlineLevel="1" max="4" min="4" style="0" width="13.85"/>
    <col collapsed="false" customWidth="true" hidden="false" outlineLevel="0" max="6" min="5" style="204" width="15.56"/>
    <col collapsed="false" customWidth="true" hidden="false" outlineLevel="0" max="7" min="7" style="204" width="15.85"/>
    <col collapsed="false" customWidth="true" hidden="false" outlineLevel="0" max="8" min="8" style="0" width="16.84"/>
    <col collapsed="false" customWidth="true" hidden="false" outlineLevel="0" max="9" min="9" style="0" width="15.7"/>
    <col collapsed="false" customWidth="true" hidden="false" outlineLevel="0" max="11" min="10" style="0" width="15.56"/>
    <col collapsed="false" customWidth="true" hidden="false" outlineLevel="0" max="13" min="12" style="0" width="13.99"/>
    <col collapsed="false" customWidth="true" hidden="false" outlineLevel="0" max="14" min="14" style="0" width="15.85"/>
    <col collapsed="false" customWidth="true" hidden="false" outlineLevel="0" max="15" min="15" style="0" width="14.41"/>
    <col collapsed="false" customWidth="true" hidden="false" outlineLevel="0" max="16" min="16" style="0" width="15.13"/>
    <col collapsed="false" customWidth="true" hidden="false" outlineLevel="0" max="17" min="17" style="0" width="13.99"/>
    <col collapsed="false" customWidth="true" hidden="false" outlineLevel="0" max="18" min="18" style="0" width="15.99"/>
    <col collapsed="false" customWidth="true" hidden="false" outlineLevel="0" max="19" min="19" style="0" width="13.41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  <c r="D1" s="16"/>
      <c r="E1" s="437"/>
      <c r="F1" s="437"/>
      <c r="G1" s="395" t="s">
        <v>50</v>
      </c>
      <c r="H1" s="438"/>
      <c r="I1" s="439"/>
    </row>
    <row r="2" customFormat="false" ht="15.75" hidden="false" customHeight="false" outlineLevel="0" collapsed="false">
      <c r="A2" s="440" t="s">
        <v>45</v>
      </c>
      <c r="B2" s="441"/>
      <c r="C2" s="18"/>
      <c r="D2" s="16"/>
      <c r="E2" s="442"/>
      <c r="F2" s="442"/>
      <c r="G2" s="443"/>
      <c r="H2" s="318"/>
      <c r="I2" s="444"/>
      <c r="J2" s="318"/>
      <c r="S2" s="204"/>
    </row>
    <row r="3" customFormat="false" ht="16.5" hidden="false" customHeight="false" outlineLevel="0" collapsed="false">
      <c r="A3" s="445" t="s">
        <v>218</v>
      </c>
      <c r="B3" s="446"/>
      <c r="C3" s="30"/>
      <c r="D3" s="16"/>
      <c r="E3" s="442"/>
      <c r="F3" s="442"/>
      <c r="G3" s="443"/>
      <c r="H3" s="16"/>
      <c r="I3" s="444"/>
      <c r="J3" s="318"/>
      <c r="S3" s="204"/>
    </row>
    <row r="4" customFormat="false" ht="13.5" hidden="false" customHeight="false" outlineLevel="0" collapsed="false">
      <c r="A4" s="447"/>
      <c r="B4" s="441"/>
      <c r="E4" s="442"/>
      <c r="F4" s="442"/>
      <c r="G4" s="448"/>
      <c r="H4" s="449"/>
      <c r="I4" s="450"/>
      <c r="J4" s="318"/>
      <c r="S4" s="204"/>
    </row>
    <row r="5" customFormat="false" ht="12.75" hidden="false" customHeight="false" outlineLevel="0" collapsed="false">
      <c r="A5" s="447"/>
      <c r="B5" s="441"/>
      <c r="E5" s="442"/>
      <c r="F5" s="442"/>
      <c r="G5" s="72"/>
      <c r="H5" s="318"/>
      <c r="I5" s="318"/>
      <c r="J5" s="318"/>
      <c r="S5" s="204"/>
    </row>
    <row r="6" customFormat="false" ht="15.75" hidden="false" customHeight="false" outlineLevel="0" collapsed="false">
      <c r="A6" s="284" t="s">
        <v>155</v>
      </c>
      <c r="B6" s="285"/>
      <c r="C6" s="85"/>
      <c r="D6" s="85"/>
      <c r="E6" s="286"/>
      <c r="F6" s="286"/>
      <c r="G6" s="85"/>
      <c r="H6" s="287"/>
      <c r="I6" s="287"/>
      <c r="J6" s="287"/>
      <c r="K6" s="85"/>
      <c r="L6" s="85"/>
      <c r="M6" s="85"/>
      <c r="N6" s="85"/>
      <c r="O6" s="85"/>
      <c r="P6" s="85"/>
      <c r="Q6" s="85"/>
      <c r="R6" s="85"/>
      <c r="S6" s="290"/>
    </row>
    <row r="7" customFormat="false" ht="12.75" hidden="false" customHeight="false" outlineLevel="0" collapsed="false">
      <c r="E7" s="292"/>
      <c r="F7" s="292"/>
      <c r="G7" s="293"/>
      <c r="H7" s="294" t="s">
        <v>156</v>
      </c>
      <c r="I7" s="295"/>
      <c r="J7" s="293"/>
      <c r="K7" s="293"/>
      <c r="L7" s="296"/>
      <c r="M7" s="293"/>
      <c r="N7" s="296"/>
      <c r="O7" s="296"/>
      <c r="P7" s="296"/>
      <c r="Q7" s="296"/>
      <c r="R7" s="75"/>
      <c r="S7" s="451"/>
      <c r="T7" s="451"/>
    </row>
    <row r="8" customFormat="false" ht="12.75" hidden="false" customHeight="false" outlineLevel="0" collapsed="false">
      <c r="D8" s="452" t="n">
        <v>1997</v>
      </c>
      <c r="E8" s="297" t="n">
        <v>1998</v>
      </c>
      <c r="F8" s="297" t="n">
        <v>1999</v>
      </c>
      <c r="G8" s="297" t="n">
        <v>2000</v>
      </c>
      <c r="H8" s="297" t="n">
        <v>2001</v>
      </c>
      <c r="I8" s="298" t="n">
        <v>2002</v>
      </c>
      <c r="J8" s="298" t="n">
        <v>2003</v>
      </c>
      <c r="K8" s="298" t="n">
        <v>2004</v>
      </c>
      <c r="L8" s="298" t="n">
        <v>2005</v>
      </c>
      <c r="M8" s="298" t="n">
        <v>2006</v>
      </c>
      <c r="N8" s="299" t="n">
        <v>2007</v>
      </c>
      <c r="O8" s="299" t="n">
        <v>2008</v>
      </c>
      <c r="P8" s="299" t="n">
        <v>2009</v>
      </c>
      <c r="Q8" s="299" t="n">
        <v>2010</v>
      </c>
      <c r="R8" s="300" t="n">
        <v>2011</v>
      </c>
      <c r="S8" s="187"/>
      <c r="T8" s="187"/>
    </row>
    <row r="9" customFormat="false" ht="12.75" hidden="false" customHeight="false" outlineLevel="0" collapsed="false">
      <c r="G9" s="301" t="s">
        <v>157</v>
      </c>
      <c r="H9" s="297" t="n">
        <v>1</v>
      </c>
      <c r="I9" s="298" t="n">
        <v>2</v>
      </c>
      <c r="J9" s="298" t="n">
        <v>3</v>
      </c>
      <c r="K9" s="298" t="n">
        <v>4</v>
      </c>
      <c r="L9" s="298" t="n">
        <v>5</v>
      </c>
      <c r="M9" s="298" t="n">
        <v>6</v>
      </c>
      <c r="N9" s="298" t="n">
        <v>7</v>
      </c>
      <c r="O9" s="298" t="n">
        <v>8</v>
      </c>
      <c r="P9" s="298" t="n">
        <v>9</v>
      </c>
      <c r="Q9" s="298" t="n">
        <v>10</v>
      </c>
      <c r="R9" s="302" t="n">
        <v>11</v>
      </c>
      <c r="S9" s="187"/>
      <c r="T9" s="187"/>
    </row>
    <row r="10" customFormat="false" ht="12.75" hidden="false" customHeight="false" outlineLevel="0" collapsed="false">
      <c r="E10" s="442"/>
      <c r="F10" s="442"/>
      <c r="G10" s="187"/>
      <c r="H10" s="453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204"/>
    </row>
    <row r="11" customFormat="false" ht="12.75" hidden="false" customHeight="false" outlineLevel="0" collapsed="false">
      <c r="A11" s="454" t="s">
        <v>160</v>
      </c>
      <c r="B11" s="455"/>
      <c r="C11" s="456"/>
      <c r="D11" s="457" t="n">
        <f aca="false">D59</f>
        <v>507639</v>
      </c>
      <c r="E11" s="457" t="n">
        <f aca="false">E59</f>
        <v>489917</v>
      </c>
      <c r="F11" s="457" t="n">
        <f aca="false">F59</f>
        <v>491300</v>
      </c>
      <c r="G11" s="457" t="n">
        <f aca="false">G59</f>
        <v>505521</v>
      </c>
      <c r="H11" s="176" t="n">
        <f aca="false">H59</f>
        <v>495151</v>
      </c>
      <c r="I11" s="176" t="n">
        <f aca="false">I59</f>
        <v>489091</v>
      </c>
      <c r="J11" s="176" t="n">
        <f aca="false">J59</f>
        <v>497938.16</v>
      </c>
      <c r="K11" s="176" t="n">
        <f aca="false">K59</f>
        <v>506962.2632</v>
      </c>
      <c r="L11" s="176" t="n">
        <f aca="false">L59</f>
        <v>516166.848464</v>
      </c>
      <c r="M11" s="176" t="n">
        <f aca="false">M59</f>
        <v>526228.02543328</v>
      </c>
      <c r="N11" s="176" t="n">
        <f aca="false">N59</f>
        <v>536510.600941946</v>
      </c>
      <c r="O11" s="176" t="n">
        <f aca="false">O59</f>
        <v>547020.011710785</v>
      </c>
      <c r="P11" s="176" t="n">
        <f aca="false">P59</f>
        <v>557761.8536325</v>
      </c>
      <c r="Q11" s="176" t="n">
        <f aca="false">Q59</f>
        <v>568741.887477025</v>
      </c>
      <c r="R11" s="176" t="n">
        <f aca="false">R59</f>
        <v>579966.044837035</v>
      </c>
      <c r="S11" s="204"/>
    </row>
    <row r="12" customFormat="false" ht="12.75" hidden="false" customHeight="false" outlineLevel="0" collapsed="false">
      <c r="D12" s="458"/>
      <c r="E12" s="458"/>
      <c r="F12" s="458"/>
      <c r="G12" s="310"/>
      <c r="H12" s="453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204"/>
    </row>
    <row r="13" customFormat="false" ht="12.75" hidden="false" customHeight="false" outlineLevel="0" collapsed="false">
      <c r="A13" s="25" t="s">
        <v>219</v>
      </c>
      <c r="B13" s="459"/>
      <c r="C13" s="16"/>
      <c r="D13" s="457" t="n">
        <f aca="false">D83</f>
        <v>216663</v>
      </c>
      <c r="E13" s="457" t="n">
        <f aca="false">E83</f>
        <v>207470</v>
      </c>
      <c r="F13" s="457" t="n">
        <f aca="false">F83</f>
        <v>239590</v>
      </c>
      <c r="G13" s="457" t="n">
        <f aca="false">G83</f>
        <v>240367</v>
      </c>
      <c r="H13" s="176" t="n">
        <f aca="false">H83</f>
        <v>257891</v>
      </c>
      <c r="I13" s="176" t="n">
        <f aca="false">I83</f>
        <v>258496</v>
      </c>
      <c r="J13" s="176" t="n">
        <f aca="false">J83</f>
        <v>255395.365314685</v>
      </c>
      <c r="K13" s="176" t="n">
        <f aca="false">K83</f>
        <v>252242.565314685</v>
      </c>
      <c r="L13" s="176" t="n">
        <f aca="false">L83</f>
        <v>252242.565314685</v>
      </c>
      <c r="M13" s="176" t="n">
        <f aca="false">M83</f>
        <v>252242.565314685</v>
      </c>
      <c r="N13" s="176" t="n">
        <f aca="false">N83</f>
        <v>252242.565314685</v>
      </c>
      <c r="O13" s="176" t="n">
        <f aca="false">O83</f>
        <v>252242.565314685</v>
      </c>
      <c r="P13" s="176" t="n">
        <f aca="false">P83</f>
        <v>252242.565314685</v>
      </c>
      <c r="Q13" s="176" t="n">
        <f aca="false">Q83</f>
        <v>252242.565314685</v>
      </c>
      <c r="R13" s="176" t="n">
        <f aca="false">R83</f>
        <v>252242.565314685</v>
      </c>
      <c r="S13" s="204"/>
    </row>
    <row r="14" customFormat="false" ht="12.75" hidden="false" customHeight="false" outlineLevel="0" collapsed="false">
      <c r="A14" s="25"/>
      <c r="B14" s="459"/>
      <c r="C14" s="16"/>
      <c r="D14" s="460"/>
      <c r="E14" s="460"/>
      <c r="F14" s="460"/>
      <c r="G14" s="460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04"/>
    </row>
    <row r="15" customFormat="false" ht="12.75" hidden="false" customHeight="false" outlineLevel="0" collapsed="false">
      <c r="A15" s="25" t="s">
        <v>197</v>
      </c>
      <c r="B15" s="16"/>
      <c r="C15" s="16"/>
      <c r="D15" s="457" t="n">
        <f aca="false">(D11-D13)</f>
        <v>290976</v>
      </c>
      <c r="E15" s="457" t="n">
        <f aca="false">(E11-E13)</f>
        <v>282447</v>
      </c>
      <c r="F15" s="457" t="n">
        <f aca="false">(F11-F13)</f>
        <v>251710</v>
      </c>
      <c r="G15" s="457" t="n">
        <f aca="false">(G11-G13)</f>
        <v>265154</v>
      </c>
      <c r="H15" s="176" t="n">
        <f aca="false">(H11-H13)</f>
        <v>237260</v>
      </c>
      <c r="I15" s="176" t="n">
        <f aca="false">(I11-I13)</f>
        <v>230595</v>
      </c>
      <c r="J15" s="176" t="n">
        <f aca="false">(J11-J13)</f>
        <v>242542.794685315</v>
      </c>
      <c r="K15" s="176" t="n">
        <f aca="false">(K11-K13)</f>
        <v>254719.697885315</v>
      </c>
      <c r="L15" s="176" t="n">
        <f aca="false">(L11-L13)</f>
        <v>263924.283149315</v>
      </c>
      <c r="M15" s="176" t="n">
        <f aca="false">(M11-M13)</f>
        <v>273985.460118595</v>
      </c>
      <c r="N15" s="176" t="n">
        <f aca="false">(N11-N13)</f>
        <v>284268.03562726</v>
      </c>
      <c r="O15" s="176" t="n">
        <f aca="false">(O11-O13)</f>
        <v>294777.446396099</v>
      </c>
      <c r="P15" s="176" t="n">
        <f aca="false">(P11-P13)</f>
        <v>305519.288317815</v>
      </c>
      <c r="Q15" s="176" t="n">
        <f aca="false">(Q11-Q13)</f>
        <v>316499.32216234</v>
      </c>
      <c r="R15" s="176" t="n">
        <f aca="false">(R11-R13)</f>
        <v>327723.479522349</v>
      </c>
      <c r="S15" s="204"/>
    </row>
    <row r="16" customFormat="false" ht="12.75" hidden="false" customHeight="false" outlineLevel="0" collapsed="false">
      <c r="A16" s="461" t="s">
        <v>220</v>
      </c>
      <c r="B16" s="53"/>
      <c r="C16" s="53"/>
      <c r="D16" s="322" t="n">
        <f aca="false">D11/D13</f>
        <v>2.3429888813503</v>
      </c>
      <c r="E16" s="322" t="n">
        <f aca="false">E11/E13</f>
        <v>2.36138718850918</v>
      </c>
      <c r="F16" s="322" t="n">
        <f aca="false">F11/F13</f>
        <v>2.05058641846488</v>
      </c>
      <c r="G16" s="322" t="n">
        <f aca="false">G11/G13</f>
        <v>2.10312147674182</v>
      </c>
      <c r="H16" s="323" t="n">
        <f aca="false">H11/H13</f>
        <v>1.92000108573002</v>
      </c>
      <c r="I16" s="323" t="n">
        <f aca="false">I11/I13</f>
        <v>1.89206409383511</v>
      </c>
      <c r="J16" s="323" t="n">
        <f aca="false">J11/J13</f>
        <v>1.94967578752444</v>
      </c>
      <c r="K16" s="323" t="n">
        <f aca="false">K11/K13</f>
        <v>2.00982043838453</v>
      </c>
      <c r="L16" s="323" t="n">
        <f aca="false">L11/L13</f>
        <v>2.04631144557246</v>
      </c>
      <c r="M16" s="323" t="n">
        <f aca="false">M11/M13</f>
        <v>2.08619835742942</v>
      </c>
      <c r="N16" s="323" t="n">
        <f aca="false">N11/N13</f>
        <v>2.12696299005928</v>
      </c>
      <c r="O16" s="323" t="n">
        <f aca="false">O11/O13</f>
        <v>2.16862689700428</v>
      </c>
      <c r="P16" s="323" t="n">
        <f aca="false">P11/P13</f>
        <v>2.21121226283385</v>
      </c>
      <c r="Q16" s="323" t="n">
        <f aca="false">Q11/Q13</f>
        <v>2.25474192576297</v>
      </c>
      <c r="R16" s="323" t="n">
        <f aca="false">R11/R13</f>
        <v>2.29923940122278</v>
      </c>
      <c r="S16" s="204"/>
    </row>
    <row r="17" customFormat="false" ht="12.75" hidden="false" customHeight="false" outlineLevel="0" collapsed="false">
      <c r="A17" s="461" t="s">
        <v>221</v>
      </c>
      <c r="B17" s="53"/>
      <c r="C17" s="53"/>
      <c r="D17" s="462" t="n">
        <f aca="false">(D11-D13)/D11</f>
        <v>0.57319473090129</v>
      </c>
      <c r="E17" s="462" t="n">
        <f aca="false">(E11-E13)/E11</f>
        <v>0.576520104425852</v>
      </c>
      <c r="F17" s="462" t="n">
        <f aca="false">(F11-F13)/F11</f>
        <v>0.512334622430287</v>
      </c>
      <c r="G17" s="462" t="n">
        <f aca="false">(G11-G13)/G11</f>
        <v>0.524516291113525</v>
      </c>
      <c r="H17" s="463" t="n">
        <f aca="false">(H11-H13)/H11</f>
        <v>0.479166961189617</v>
      </c>
      <c r="I17" s="463" t="n">
        <f aca="false">(I11-I13)/I11</f>
        <v>0.471476678164186</v>
      </c>
      <c r="J17" s="463" t="n">
        <f aca="false">(J11-J13)/J11</f>
        <v>0.487094210022616</v>
      </c>
      <c r="K17" s="463" t="n">
        <f aca="false">(K11-K13)/K11</f>
        <v>0.502443113373956</v>
      </c>
      <c r="L17" s="463" t="n">
        <f aca="false">(L11-L13)/L11</f>
        <v>0.511315835053522</v>
      </c>
      <c r="M17" s="463" t="n">
        <f aca="false">(M11-M13)/M11</f>
        <v>0.520659195019124</v>
      </c>
      <c r="N17" s="463" t="n">
        <f aca="false">(N11-N13)/N11</f>
        <v>0.529846074109578</v>
      </c>
      <c r="O17" s="463" t="n">
        <f aca="false">(O11-O13)/O11</f>
        <v>0.538878724882832</v>
      </c>
      <c r="P17" s="463" t="n">
        <f aca="false">(P11-P13)/P11</f>
        <v>0.547759382123533</v>
      </c>
      <c r="Q17" s="463" t="n">
        <f aca="false">(Q11-Q13)/Q11</f>
        <v>0.556490262333852</v>
      </c>
      <c r="R17" s="463" t="n">
        <f aca="false">(R11-R13)/R11</f>
        <v>0.565073563253926</v>
      </c>
      <c r="S17" s="204"/>
    </row>
    <row r="18" customFormat="false" ht="12.75" hidden="false" customHeight="false" outlineLevel="0" collapsed="false">
      <c r="D18" s="305"/>
      <c r="E18" s="305"/>
      <c r="F18" s="305"/>
      <c r="G18" s="305"/>
      <c r="H18" s="204"/>
      <c r="S18" s="204"/>
    </row>
    <row r="19" customFormat="false" ht="12.75" hidden="false" customHeight="false" outlineLevel="0" collapsed="false">
      <c r="A19" s="386" t="s">
        <v>222</v>
      </c>
      <c r="D19" s="464" t="n">
        <f aca="false">9396+7377</f>
        <v>16773</v>
      </c>
      <c r="E19" s="464" t="n">
        <f aca="false">9042+11701</f>
        <v>20743</v>
      </c>
      <c r="F19" s="464" t="n">
        <f aca="false">15627+8295</f>
        <v>23922</v>
      </c>
      <c r="G19" s="465" t="n">
        <f aca="false">23427+23703</f>
        <v>47130</v>
      </c>
      <c r="H19" s="184" t="n">
        <f aca="false">4777+15066+511</f>
        <v>20354</v>
      </c>
      <c r="I19" s="184" t="n">
        <f aca="false">19025+12500+421</f>
        <v>31946</v>
      </c>
      <c r="J19" s="184" t="n">
        <f aca="false">I19</f>
        <v>31946</v>
      </c>
      <c r="K19" s="184" t="n">
        <f aca="false">J19</f>
        <v>31946</v>
      </c>
      <c r="L19" s="184" t="n">
        <f aca="false">K19</f>
        <v>31946</v>
      </c>
      <c r="M19" s="184" t="n">
        <f aca="false">L19</f>
        <v>31946</v>
      </c>
      <c r="N19" s="184" t="n">
        <f aca="false">M19</f>
        <v>31946</v>
      </c>
      <c r="O19" s="184" t="n">
        <f aca="false">N19</f>
        <v>31946</v>
      </c>
      <c r="P19" s="184" t="n">
        <f aca="false">O19</f>
        <v>31946</v>
      </c>
      <c r="Q19" s="184" t="n">
        <f aca="false">P19</f>
        <v>31946</v>
      </c>
      <c r="R19" s="184" t="n">
        <f aca="false">Q19</f>
        <v>31946</v>
      </c>
      <c r="S19" s="204"/>
    </row>
    <row r="20" customFormat="false" ht="12.75" hidden="false" customHeight="false" outlineLevel="0" collapsed="false">
      <c r="A20" s="386" t="s">
        <v>168</v>
      </c>
      <c r="D20" s="464"/>
      <c r="E20" s="464" t="n">
        <v>0</v>
      </c>
      <c r="F20" s="464" t="n">
        <v>0</v>
      </c>
      <c r="G20" s="465" t="n">
        <v>0</v>
      </c>
      <c r="H20" s="184" t="n">
        <v>0</v>
      </c>
      <c r="I20" s="184" t="n">
        <f aca="false">H20</f>
        <v>0</v>
      </c>
      <c r="J20" s="184" t="n">
        <f aca="false">I20*Curves!F35</f>
        <v>0</v>
      </c>
      <c r="K20" s="184" t="n">
        <f aca="false">J20*Curves!G35</f>
        <v>0</v>
      </c>
      <c r="L20" s="184" t="n">
        <f aca="false">K20*Curves!H35</f>
        <v>0</v>
      </c>
      <c r="M20" s="184" t="n">
        <f aca="false">L20*Curves!I35</f>
        <v>0</v>
      </c>
      <c r="N20" s="184" t="n">
        <f aca="false">M20*Curves!J35</f>
        <v>0</v>
      </c>
      <c r="O20" s="184" t="n">
        <f aca="false">N20*Curves!K35</f>
        <v>0</v>
      </c>
      <c r="P20" s="184" t="n">
        <f aca="false">O20*Curves!L35</f>
        <v>0</v>
      </c>
      <c r="Q20" s="184" t="n">
        <f aca="false">P20*Curves!M35</f>
        <v>0</v>
      </c>
      <c r="R20" s="184" t="n">
        <f aca="false">Q20*Curves!N35</f>
        <v>0</v>
      </c>
      <c r="S20" s="204"/>
    </row>
    <row r="21" customFormat="false" ht="12.75" hidden="false" customHeight="false" outlineLevel="0" collapsed="false">
      <c r="A21" s="386" t="s">
        <v>223</v>
      </c>
      <c r="B21" s="466"/>
      <c r="D21" s="467" t="n">
        <f aca="false">D128</f>
        <v>88563</v>
      </c>
      <c r="E21" s="467" t="n">
        <f aca="false">E128</f>
        <v>81343</v>
      </c>
      <c r="F21" s="467" t="n">
        <f aca="false">F128</f>
        <v>40395</v>
      </c>
      <c r="G21" s="468" t="n">
        <f aca="false">G128</f>
        <v>50691</v>
      </c>
      <c r="H21" s="158" t="n">
        <f aca="false">H128+14002</f>
        <v>61579</v>
      </c>
      <c r="I21" s="158" t="n">
        <f aca="false">49279+17494</f>
        <v>66773</v>
      </c>
      <c r="J21" s="158" t="n">
        <f aca="false">J128</f>
        <v>53343.03</v>
      </c>
      <c r="K21" s="158" t="n">
        <f aca="false">K128</f>
        <v>54805.53</v>
      </c>
      <c r="L21" s="158" t="n">
        <f aca="false">L128</f>
        <v>56268.03</v>
      </c>
      <c r="M21" s="158" t="n">
        <f aca="false">M128</f>
        <v>57730.53</v>
      </c>
      <c r="N21" s="158" t="n">
        <f aca="false">N128</f>
        <v>59193.03</v>
      </c>
      <c r="O21" s="158" t="n">
        <f aca="false">O128</f>
        <v>60655.53</v>
      </c>
      <c r="P21" s="158" t="n">
        <f aca="false">P128</f>
        <v>62118.03</v>
      </c>
      <c r="Q21" s="158" t="n">
        <f aca="false">Q128</f>
        <v>63580.53</v>
      </c>
      <c r="R21" s="158" t="n">
        <f aca="false">R128</f>
        <v>65043.03</v>
      </c>
      <c r="S21" s="204"/>
    </row>
    <row r="22" customFormat="false" ht="12.75" hidden="false" customHeight="false" outlineLevel="0" collapsed="false">
      <c r="D22" s="469"/>
      <c r="E22" s="469"/>
      <c r="F22" s="469"/>
      <c r="G22" s="333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04"/>
    </row>
    <row r="23" customFormat="false" ht="12.75" hidden="false" customHeight="false" outlineLevel="0" collapsed="false">
      <c r="A23" s="25" t="s">
        <v>200</v>
      </c>
      <c r="B23" s="16"/>
      <c r="C23" s="16"/>
      <c r="D23" s="457" t="n">
        <f aca="false">D15+D19+D20-D21</f>
        <v>219186</v>
      </c>
      <c r="E23" s="457" t="n">
        <f aca="false">E15+E19+E20-E21</f>
        <v>221847</v>
      </c>
      <c r="F23" s="457" t="n">
        <f aca="false">F15+F19+F20-F21</f>
        <v>235237</v>
      </c>
      <c r="G23" s="457" t="n">
        <f aca="false">G15+G19+G20-G21</f>
        <v>261593</v>
      </c>
      <c r="H23" s="176" t="n">
        <f aca="false">H15+H19+H20-H21</f>
        <v>196035</v>
      </c>
      <c r="I23" s="176" t="n">
        <f aca="false">I15+I19+I20-I21</f>
        <v>195768</v>
      </c>
      <c r="J23" s="176" t="n">
        <f aca="false">J15+J19+J20-J21</f>
        <v>221145.764685315</v>
      </c>
      <c r="K23" s="176" t="n">
        <f aca="false">K15+K19+K20-K21</f>
        <v>231860.167885315</v>
      </c>
      <c r="L23" s="176" t="n">
        <f aca="false">L15+L19+L20-L21</f>
        <v>239602.253149315</v>
      </c>
      <c r="M23" s="176" t="n">
        <f aca="false">M15+M19+M20-M21</f>
        <v>248200.930118595</v>
      </c>
      <c r="N23" s="176" t="n">
        <f aca="false">N15+N19+N20-N21</f>
        <v>257021.00562726</v>
      </c>
      <c r="O23" s="176" t="n">
        <f aca="false">O15+O19+O20-O21</f>
        <v>266067.916396099</v>
      </c>
      <c r="P23" s="176" t="n">
        <f aca="false">P15+P19+P20-P21</f>
        <v>275347.258317815</v>
      </c>
      <c r="Q23" s="176" t="n">
        <f aca="false">Q15+Q19+Q20-Q21</f>
        <v>284864.79216234</v>
      </c>
      <c r="R23" s="176" t="n">
        <f aca="false">R15+R19+R20-R21</f>
        <v>294626.449522349</v>
      </c>
      <c r="S23" s="204"/>
    </row>
    <row r="24" customFormat="false" ht="12.75" hidden="false" customHeight="false" outlineLevel="0" collapsed="false">
      <c r="D24" s="470"/>
      <c r="E24" s="470"/>
      <c r="F24" s="470"/>
      <c r="G24" s="310"/>
      <c r="H24" s="187"/>
      <c r="I24" s="187" t="n">
        <f aca="false">+I23-195768</f>
        <v>0</v>
      </c>
      <c r="J24" s="187"/>
      <c r="K24" s="187"/>
      <c r="L24" s="187"/>
      <c r="M24" s="187"/>
      <c r="N24" s="187"/>
      <c r="O24" s="187"/>
      <c r="P24" s="187"/>
      <c r="Q24" s="187"/>
      <c r="R24" s="187"/>
      <c r="S24" s="204"/>
    </row>
    <row r="25" customFormat="false" ht="12.75" hidden="false" customHeight="false" outlineLevel="0" collapsed="false">
      <c r="A25" s="243" t="s">
        <v>224</v>
      </c>
      <c r="D25" s="470"/>
      <c r="E25" s="470"/>
      <c r="F25" s="470"/>
      <c r="G25" s="310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204"/>
    </row>
    <row r="26" customFormat="false" ht="12.75" hidden="false" customHeight="false" outlineLevel="0" collapsed="false">
      <c r="A26" s="471" t="s">
        <v>173</v>
      </c>
      <c r="D26" s="467" t="n">
        <f aca="false">$B$28*(D15+D19+D20-D134)</f>
        <v>50289.855</v>
      </c>
      <c r="E26" s="467" t="n">
        <f aca="false">$B$28*(E15+E19+E20-E134)</f>
        <v>54094.04</v>
      </c>
      <c r="F26" s="467" t="n">
        <f aca="false">$B$28*(F15+F19+F20-F134)</f>
        <v>75014.17</v>
      </c>
      <c r="G26" s="467" t="n">
        <f aca="false">$B$28*(G15+G19+G20-G134)</f>
        <v>81197.27</v>
      </c>
      <c r="H26" s="472" t="n">
        <f aca="false">$B$28*(H15+H19+H20-H134)</f>
        <v>45069.58225</v>
      </c>
      <c r="I26" s="472" t="n">
        <f aca="false">$B$28*(I15+I19+I20-I134)</f>
        <v>44077.931975</v>
      </c>
      <c r="J26" s="472" t="n">
        <f aca="false">$B$28*(J15+J19+J20-J134)</f>
        <v>56019.0385313462</v>
      </c>
      <c r="K26" s="472" t="n">
        <f aca="false">$B$28*(K15+K19+K20-K134)</f>
        <v>58279.5899783462</v>
      </c>
      <c r="L26" s="472" t="n">
        <f aca="false">$B$28*(L15+L19+L20-L134)</f>
        <v>70866.1307389862</v>
      </c>
      <c r="M26" s="472" t="n">
        <f aca="false">$B$28*(M15+M19+M20-M134)</f>
        <v>73372.305436659</v>
      </c>
      <c r="N26" s="472" t="n">
        <f aca="false">$B$28*(N15+N19+N20-N134)</f>
        <v>76025.9928609952</v>
      </c>
      <c r="O26" s="472" t="n">
        <f aca="false">$B$28*(O15+O19+O20-O134)</f>
        <v>78719.9121924982</v>
      </c>
      <c r="P26" s="472" t="n">
        <f aca="false">$B$28*(P15+P19+P20-P134)</f>
        <v>91984.1779078588</v>
      </c>
      <c r="Q26" s="472" t="n">
        <f aca="false">$B$28*(Q15+Q19+Q20-Q134)</f>
        <v>94734.1499190009</v>
      </c>
      <c r="R26" s="472" t="n">
        <f aca="false">$B$28*(R15+R19+R20-R134)</f>
        <v>97576.0107716044</v>
      </c>
      <c r="S26" s="204"/>
    </row>
    <row r="27" customFormat="false" ht="12.75" hidden="false" customHeight="false" outlineLevel="0" collapsed="false">
      <c r="A27" s="471" t="s">
        <v>125</v>
      </c>
      <c r="D27" s="473" t="n">
        <f aca="false">D28-D26</f>
        <v>34096.755</v>
      </c>
      <c r="E27" s="473" t="n">
        <f aca="false">E28-E26</f>
        <v>31317.055</v>
      </c>
      <c r="F27" s="473" t="n">
        <f aca="false">F28-F26</f>
        <v>15552.075</v>
      </c>
      <c r="G27" s="473" t="n">
        <f aca="false">G28-G26</f>
        <v>19516.035</v>
      </c>
      <c r="H27" s="474" t="n">
        <f aca="false">H28-H26</f>
        <v>30403.89275</v>
      </c>
      <c r="I27" s="474" t="n">
        <f aca="false">I28-I26</f>
        <v>31292.748025</v>
      </c>
      <c r="J27" s="474" t="n">
        <f aca="false">J28-J26</f>
        <v>29122.0808725</v>
      </c>
      <c r="K27" s="474" t="n">
        <f aca="false">K28-K26</f>
        <v>30986.5746575</v>
      </c>
      <c r="L27" s="474" t="n">
        <f aca="false">L28-L26</f>
        <v>21380.7367235</v>
      </c>
      <c r="M27" s="474" t="n">
        <f aca="false">M28-M26</f>
        <v>22185.052659</v>
      </c>
      <c r="N27" s="474" t="n">
        <f aca="false">N28-N26</f>
        <v>22927.0943055</v>
      </c>
      <c r="O27" s="474" t="n">
        <f aca="false">O28-O26</f>
        <v>23716.23562</v>
      </c>
      <c r="P27" s="474" t="n">
        <f aca="false">P28-P26</f>
        <v>14024.5165445</v>
      </c>
      <c r="Q27" s="474" t="n">
        <f aca="false">Q28-Q26</f>
        <v>14938.7950635</v>
      </c>
      <c r="R27" s="474" t="n">
        <f aca="false">R28-R26</f>
        <v>15855.1722945</v>
      </c>
      <c r="S27" s="204"/>
    </row>
    <row r="28" customFormat="false" ht="12.75" hidden="false" customHeight="false" outlineLevel="0" collapsed="false">
      <c r="A28" s="475" t="s">
        <v>174</v>
      </c>
      <c r="B28" s="476" t="n">
        <f aca="false">Assumptions!D10</f>
        <v>0.385</v>
      </c>
      <c r="D28" s="457" t="n">
        <f aca="false">D23*$B$28</f>
        <v>84386.61</v>
      </c>
      <c r="E28" s="457" t="n">
        <f aca="false">E23*$B$28</f>
        <v>85411.095</v>
      </c>
      <c r="F28" s="457" t="n">
        <f aca="false">F23*$B$28</f>
        <v>90566.245</v>
      </c>
      <c r="G28" s="457" t="n">
        <f aca="false">G23*$B$28</f>
        <v>100713.305</v>
      </c>
      <c r="H28" s="176" t="n">
        <f aca="false">H23*$B$28</f>
        <v>75473.475</v>
      </c>
      <c r="I28" s="176" t="n">
        <f aca="false">I23*$B$28</f>
        <v>75370.68</v>
      </c>
      <c r="J28" s="176" t="n">
        <f aca="false">J23*$B$28</f>
        <v>85141.1194038462</v>
      </c>
      <c r="K28" s="176" t="n">
        <f aca="false">K23*$B$28</f>
        <v>89266.1646358462</v>
      </c>
      <c r="L28" s="176" t="n">
        <f aca="false">L23*$B$28</f>
        <v>92246.8674624862</v>
      </c>
      <c r="M28" s="176" t="n">
        <f aca="false">M23*$B$28</f>
        <v>95557.358095659</v>
      </c>
      <c r="N28" s="176" t="n">
        <f aca="false">N23*$B$28</f>
        <v>98953.0871664952</v>
      </c>
      <c r="O28" s="176" t="n">
        <f aca="false">O23*$B$28</f>
        <v>102436.147812498</v>
      </c>
      <c r="P28" s="176" t="n">
        <f aca="false">P23*$B$28</f>
        <v>106008.694452359</v>
      </c>
      <c r="Q28" s="176" t="n">
        <f aca="false">Q23*$B$28</f>
        <v>109672.944982501</v>
      </c>
      <c r="R28" s="176" t="n">
        <f aca="false">R23*$B$28</f>
        <v>113431.183066104</v>
      </c>
      <c r="S28" s="204"/>
    </row>
    <row r="29" customFormat="false" ht="12.75" hidden="false" customHeight="false" outlineLevel="0" collapsed="false">
      <c r="A29" s="187"/>
      <c r="B29" s="146"/>
      <c r="D29" s="469"/>
      <c r="E29" s="469"/>
      <c r="F29" s="469"/>
      <c r="G29" s="333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04"/>
    </row>
    <row r="30" customFormat="false" ht="12.75" hidden="false" customHeight="false" outlineLevel="0" collapsed="false">
      <c r="A30" s="348" t="s">
        <v>204</v>
      </c>
      <c r="B30" s="96"/>
      <c r="C30" s="16"/>
      <c r="D30" s="457" t="n">
        <f aca="false">D23-D28</f>
        <v>134799.39</v>
      </c>
      <c r="E30" s="457" t="n">
        <f aca="false">E23-E28</f>
        <v>136435.905</v>
      </c>
      <c r="F30" s="457" t="n">
        <f aca="false">F23-F28</f>
        <v>144670.755</v>
      </c>
      <c r="G30" s="457" t="n">
        <f aca="false">G23-G28</f>
        <v>160879.695</v>
      </c>
      <c r="H30" s="176" t="n">
        <f aca="false">H23-H28</f>
        <v>120561.525</v>
      </c>
      <c r="I30" s="176" t="n">
        <f aca="false">I23-I28</f>
        <v>120397.32</v>
      </c>
      <c r="J30" s="176" t="n">
        <f aca="false">J23-J28</f>
        <v>136004.645281469</v>
      </c>
      <c r="K30" s="176" t="n">
        <f aca="false">K23-K28</f>
        <v>142594.003249469</v>
      </c>
      <c r="L30" s="176" t="n">
        <f aca="false">L23-L28</f>
        <v>147355.385686829</v>
      </c>
      <c r="M30" s="176" t="n">
        <f aca="false">M23-M28</f>
        <v>152643.572022936</v>
      </c>
      <c r="N30" s="176" t="n">
        <f aca="false">N23-N28</f>
        <v>158067.918460765</v>
      </c>
      <c r="O30" s="176" t="n">
        <f aca="false">O23-O28</f>
        <v>163631.768583601</v>
      </c>
      <c r="P30" s="176" t="n">
        <f aca="false">P23-P28</f>
        <v>169338.563865456</v>
      </c>
      <c r="Q30" s="176" t="n">
        <f aca="false">Q23-Q28</f>
        <v>175191.847179839</v>
      </c>
      <c r="R30" s="176" t="n">
        <f aca="false">R23-R28</f>
        <v>181195.266456245</v>
      </c>
      <c r="S30" s="477" t="s">
        <v>197</v>
      </c>
    </row>
    <row r="31" customFormat="false" ht="12.75" hidden="false" customHeight="false" outlineLevel="0" collapsed="false">
      <c r="A31" s="187"/>
      <c r="B31" s="146"/>
      <c r="D31" s="470"/>
      <c r="E31" s="470"/>
      <c r="F31" s="470"/>
      <c r="G31" s="310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477" t="s">
        <v>225</v>
      </c>
    </row>
    <row r="32" customFormat="false" ht="12.75" hidden="false" customHeight="false" outlineLevel="0" collapsed="false">
      <c r="A32" s="348" t="s">
        <v>226</v>
      </c>
      <c r="B32" s="146"/>
      <c r="D32" s="478" t="n">
        <f aca="false">D30+D27+D21</f>
        <v>257459.145</v>
      </c>
      <c r="E32" s="478" t="n">
        <f aca="false">E30+E27+E21</f>
        <v>249095.96</v>
      </c>
      <c r="F32" s="478" t="n">
        <f aca="false">F30+F27+F21</f>
        <v>200617.83</v>
      </c>
      <c r="G32" s="478" t="n">
        <f aca="false">G30+G27+G21</f>
        <v>231086.73</v>
      </c>
      <c r="H32" s="184" t="n">
        <f aca="false">H30+H27+H21</f>
        <v>212544.41775</v>
      </c>
      <c r="I32" s="184" t="n">
        <f aca="false">I30+I27+I21</f>
        <v>218463.068025</v>
      </c>
      <c r="J32" s="184" t="n">
        <f aca="false">J30+J27+J21</f>
        <v>218469.756153969</v>
      </c>
      <c r="K32" s="184" t="n">
        <f aca="false">K30+K27+K21</f>
        <v>228386.107906969</v>
      </c>
      <c r="L32" s="184" t="n">
        <f aca="false">L30+L27+L21</f>
        <v>225004.152410329</v>
      </c>
      <c r="M32" s="184" t="n">
        <f aca="false">M30+M27+M21</f>
        <v>232559.154681936</v>
      </c>
      <c r="N32" s="184" t="n">
        <f aca="false">N30+N27+N21</f>
        <v>240188.042766265</v>
      </c>
      <c r="O32" s="184" t="n">
        <f aca="false">O30+O27+O21</f>
        <v>248003.534203601</v>
      </c>
      <c r="P32" s="184" t="n">
        <f aca="false">P30+P27+P21</f>
        <v>245481.110409956</v>
      </c>
      <c r="Q32" s="184" t="n">
        <f aca="false">Q30+Q27+Q21</f>
        <v>253711.172243339</v>
      </c>
      <c r="R32" s="184" t="n">
        <f aca="false">R30+R27+R21</f>
        <v>262093.468750745</v>
      </c>
      <c r="S32" s="477" t="s">
        <v>227</v>
      </c>
    </row>
    <row r="33" customFormat="false" ht="12.75" hidden="false" customHeight="false" outlineLevel="0" collapsed="false">
      <c r="A33" s="348" t="s">
        <v>209</v>
      </c>
      <c r="B33" s="479"/>
      <c r="D33" s="310" t="n">
        <f aca="false">D107</f>
        <v>197477</v>
      </c>
      <c r="E33" s="310" t="n">
        <f aca="false">E107</f>
        <v>157057</v>
      </c>
      <c r="F33" s="310" t="n">
        <f aca="false">F107</f>
        <v>111491</v>
      </c>
      <c r="G33" s="310" t="n">
        <f aca="false">G107</f>
        <v>67137</v>
      </c>
      <c r="H33" s="184" t="n">
        <f aca="false">H107</f>
        <v>89631</v>
      </c>
      <c r="I33" s="184" t="n">
        <f aca="false">I107</f>
        <v>99500</v>
      </c>
      <c r="J33" s="184" t="n">
        <f aca="false">J107</f>
        <v>65000</v>
      </c>
      <c r="K33" s="184" t="n">
        <f aca="false">K107</f>
        <v>65000</v>
      </c>
      <c r="L33" s="184" t="n">
        <f aca="false">L107</f>
        <v>65000</v>
      </c>
      <c r="M33" s="184" t="n">
        <f aca="false">M107</f>
        <v>65000</v>
      </c>
      <c r="N33" s="184" t="n">
        <f aca="false">N107</f>
        <v>65000</v>
      </c>
      <c r="O33" s="184" t="n">
        <f aca="false">O107</f>
        <v>65000</v>
      </c>
      <c r="P33" s="184" t="n">
        <f aca="false">P107</f>
        <v>65000</v>
      </c>
      <c r="Q33" s="184" t="n">
        <f aca="false">Q107</f>
        <v>65000</v>
      </c>
      <c r="R33" s="184" t="n">
        <f aca="false">R107</f>
        <v>65000</v>
      </c>
      <c r="S33" s="480"/>
    </row>
    <row r="34" customFormat="false" ht="12.75" hidden="false" customHeight="false" outlineLevel="0" collapsed="false">
      <c r="A34" s="187"/>
      <c r="B34" s="479"/>
      <c r="D34" s="310"/>
      <c r="E34" s="310"/>
      <c r="F34" s="310"/>
      <c r="G34" s="310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481"/>
    </row>
    <row r="35" customFormat="false" ht="27.75" hidden="false" customHeight="true" outlineLevel="0" collapsed="false">
      <c r="A35" s="482" t="s">
        <v>228</v>
      </c>
      <c r="B35" s="483"/>
      <c r="C35" s="483"/>
      <c r="D35" s="484" t="n">
        <f aca="false">D32-D33</f>
        <v>59982.145</v>
      </c>
      <c r="E35" s="484" t="n">
        <f aca="false">E32-E33</f>
        <v>92038.96</v>
      </c>
      <c r="F35" s="484" t="n">
        <f aca="false">F32-F33</f>
        <v>89126.83</v>
      </c>
      <c r="G35" s="484" t="n">
        <f aca="false">G32-G33</f>
        <v>163949.73</v>
      </c>
      <c r="H35" s="485" t="n">
        <f aca="false">H32-H33</f>
        <v>122913.41775</v>
      </c>
      <c r="I35" s="485" t="n">
        <f aca="false">I32-I33</f>
        <v>118963.068025</v>
      </c>
      <c r="J35" s="485" t="n">
        <f aca="false">J32-J33</f>
        <v>153469.756153969</v>
      </c>
      <c r="K35" s="485" t="n">
        <f aca="false">K32-K33</f>
        <v>163386.107906969</v>
      </c>
      <c r="L35" s="485" t="n">
        <f aca="false">L32-L33</f>
        <v>160004.152410329</v>
      </c>
      <c r="M35" s="485" t="n">
        <f aca="false">M32-M33</f>
        <v>167559.154681936</v>
      </c>
      <c r="N35" s="485" t="n">
        <f aca="false">N32-N33</f>
        <v>175188.042766265</v>
      </c>
      <c r="O35" s="485" t="n">
        <f aca="false">O32-O33</f>
        <v>183003.534203601</v>
      </c>
      <c r="P35" s="485" t="n">
        <f aca="false">P32-P33</f>
        <v>180481.110409956</v>
      </c>
      <c r="Q35" s="485" t="n">
        <f aca="false">Q32-Q33</f>
        <v>188711.172243339</v>
      </c>
      <c r="R35" s="485" t="n">
        <f aca="false">R32-R33+S35</f>
        <v>3146604.78445189</v>
      </c>
      <c r="S35" s="486" t="n">
        <f aca="false">R15*S37</f>
        <v>2949511.31570114</v>
      </c>
    </row>
    <row r="36" customFormat="false" ht="13.5" hidden="false" customHeight="false" outlineLevel="0" collapsed="false">
      <c r="A36" s="341"/>
      <c r="B36" s="16"/>
      <c r="C36" s="16"/>
      <c r="D36" s="1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487"/>
    </row>
    <row r="37" customFormat="false" ht="12.75" hidden="false" customHeight="false" outlineLevel="0" collapsed="false">
      <c r="A37" s="341"/>
      <c r="B37" s="16"/>
      <c r="C37" s="16"/>
      <c r="D37" s="1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488" t="n">
        <f aca="false">Scenarios!C5</f>
        <v>9</v>
      </c>
    </row>
    <row r="38" customFormat="false" ht="12.75" hidden="false" customHeight="false" outlineLevel="0" collapsed="false">
      <c r="A38" s="341"/>
      <c r="B38" s="16"/>
      <c r="C38" s="16"/>
      <c r="D38" s="1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489" t="s">
        <v>229</v>
      </c>
    </row>
    <row r="39" customFormat="false" ht="13.5" hidden="false" customHeight="false" outlineLevel="0" collapsed="false">
      <c r="M39" s="77"/>
    </row>
    <row r="40" customFormat="false" ht="15" hidden="false" customHeight="false" outlineLevel="0" collapsed="false">
      <c r="G40" s="0"/>
      <c r="H40" s="490" t="s">
        <v>181</v>
      </c>
      <c r="I40" s="491" t="str">
        <f aca="false">(Assumptions!D8-1&amp;" EBITDA")</f>
        <v>2001 EBITDA</v>
      </c>
      <c r="J40" s="491" t="s">
        <v>230</v>
      </c>
      <c r="K40" s="492"/>
      <c r="L40" s="493" t="s">
        <v>182</v>
      </c>
      <c r="M40" s="493"/>
      <c r="N40" s="493"/>
      <c r="Q40" s="187"/>
      <c r="R40" s="187"/>
    </row>
    <row r="41" customFormat="false" ht="15" hidden="false" customHeight="false" outlineLevel="0" collapsed="false">
      <c r="G41" s="0"/>
      <c r="H41" s="494" t="s">
        <v>183</v>
      </c>
      <c r="I41" s="495" t="s">
        <v>136</v>
      </c>
      <c r="J41" s="495" t="s">
        <v>231</v>
      </c>
      <c r="K41" s="496"/>
      <c r="L41" s="497" t="n">
        <f aca="false">Asset3Drate-0.025</f>
        <v>0.05</v>
      </c>
      <c r="M41" s="498" t="n">
        <f aca="false">Scenarios!C6</f>
        <v>0.075</v>
      </c>
      <c r="N41" s="499" t="n">
        <f aca="false">Asset3Drate+0.025</f>
        <v>0.1</v>
      </c>
      <c r="Q41" s="187"/>
      <c r="R41" s="187"/>
    </row>
    <row r="42" customFormat="false" ht="12.75" hidden="false" customHeight="false" outlineLevel="0" collapsed="false">
      <c r="G42" s="308" t="s">
        <v>184</v>
      </c>
      <c r="H42" s="369"/>
      <c r="I42" s="500"/>
      <c r="J42" s="500"/>
      <c r="K42" s="370"/>
      <c r="L42" s="370"/>
      <c r="M42" s="370"/>
      <c r="N42" s="372"/>
      <c r="Q42" s="187"/>
      <c r="R42" s="187"/>
    </row>
    <row r="43" customFormat="false" ht="13.5" hidden="false" customHeight="false" outlineLevel="0" collapsed="false">
      <c r="G43" s="0" t="n">
        <f aca="false">IF(ABS(H43-M43)&lt;0.05,0,1)</f>
        <v>0</v>
      </c>
      <c r="H43" s="501" t="n">
        <v>2561670.76206941</v>
      </c>
      <c r="I43" s="502" t="n">
        <f aca="false">H43/H15</f>
        <v>10.7968927002841</v>
      </c>
      <c r="J43" s="503"/>
      <c r="K43" s="504"/>
      <c r="L43" s="505" t="n">
        <f aca="false">NPV(L41,$I$35:$R$35)</f>
        <v>3092890.82488558</v>
      </c>
      <c r="M43" s="505" t="n">
        <f aca="false">NPV(M41,$I$35:$R$35)</f>
        <v>2561670.76206941</v>
      </c>
      <c r="N43" s="506" t="n">
        <f aca="false">NPV(N41,$I$35:$R$35)</f>
        <v>2141242.11511162</v>
      </c>
      <c r="Q43" s="187"/>
      <c r="R43" s="187"/>
      <c r="S43" s="187"/>
    </row>
    <row r="44" customFormat="false" ht="12.75" hidden="false" customHeight="false" outlineLevel="0" collapsed="false">
      <c r="G44" s="0"/>
      <c r="H44" s="187"/>
      <c r="I44" s="507"/>
      <c r="J44" s="507"/>
      <c r="K44" s="187"/>
      <c r="L44" s="187"/>
      <c r="M44" s="508"/>
      <c r="N44" s="187"/>
      <c r="Q44" s="187"/>
      <c r="R44" s="187"/>
      <c r="S44" s="187"/>
    </row>
    <row r="45" customFormat="false" ht="12.75" hidden="false" customHeight="false" outlineLevel="0" collapsed="false">
      <c r="G45" s="187"/>
      <c r="H45" s="187"/>
      <c r="I45" s="187"/>
      <c r="J45" s="187"/>
      <c r="K45" s="187"/>
      <c r="L45" s="187"/>
      <c r="M45" s="187"/>
      <c r="O45" s="187"/>
      <c r="P45" s="187"/>
      <c r="Q45" s="187"/>
      <c r="R45" s="187"/>
    </row>
    <row r="46" customFormat="false" ht="12.75" hidden="false" customHeight="false" outlineLevel="0" collapsed="false">
      <c r="E46" s="187"/>
      <c r="F46" s="187"/>
      <c r="G46" s="187"/>
      <c r="H46" s="187"/>
      <c r="I46" s="187"/>
      <c r="J46" s="204"/>
      <c r="K46" s="204"/>
      <c r="L46" s="204"/>
      <c r="M46" s="204"/>
      <c r="N46" s="204"/>
      <c r="O46" s="204"/>
      <c r="P46" s="204"/>
      <c r="Q46" s="204"/>
      <c r="R46" s="204"/>
    </row>
    <row r="47" customFormat="false" ht="15.75" hidden="false" customHeight="false" outlineLevel="0" collapsed="false">
      <c r="A47" s="284" t="s">
        <v>232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204"/>
    </row>
    <row r="48" customFormat="false" ht="12.75" hidden="false" customHeight="false" outlineLevel="0" collapsed="false">
      <c r="E48" s="292"/>
      <c r="F48" s="292"/>
      <c r="G48" s="293"/>
      <c r="H48" s="294" t="s">
        <v>156</v>
      </c>
      <c r="I48" s="295"/>
      <c r="J48" s="293"/>
      <c r="K48" s="293"/>
      <c r="L48" s="296"/>
      <c r="M48" s="293"/>
      <c r="N48" s="296"/>
      <c r="O48" s="296"/>
      <c r="P48" s="296"/>
      <c r="Q48" s="296"/>
      <c r="R48" s="75"/>
      <c r="S48" s="204"/>
    </row>
    <row r="49" customFormat="false" ht="12.75" hidden="false" customHeight="false" outlineLevel="0" collapsed="false">
      <c r="D49" s="452" t="n">
        <v>1997</v>
      </c>
      <c r="E49" s="297" t="n">
        <v>1998</v>
      </c>
      <c r="F49" s="297" t="n">
        <v>1999</v>
      </c>
      <c r="G49" s="297" t="n">
        <v>2000</v>
      </c>
      <c r="H49" s="297" t="n">
        <v>2001</v>
      </c>
      <c r="I49" s="298" t="n">
        <v>2002</v>
      </c>
      <c r="J49" s="298" t="n">
        <v>2003</v>
      </c>
      <c r="K49" s="298" t="n">
        <v>2004</v>
      </c>
      <c r="L49" s="298" t="n">
        <v>2005</v>
      </c>
      <c r="M49" s="298" t="n">
        <v>2006</v>
      </c>
      <c r="N49" s="299" t="n">
        <v>2007</v>
      </c>
      <c r="O49" s="299" t="n">
        <v>2008</v>
      </c>
      <c r="P49" s="299" t="n">
        <v>2009</v>
      </c>
      <c r="Q49" s="299" t="n">
        <v>2010</v>
      </c>
      <c r="R49" s="414" t="n">
        <v>2011</v>
      </c>
      <c r="S49" s="204"/>
    </row>
    <row r="50" customFormat="false" ht="12.75" hidden="false" customHeight="false" outlineLevel="0" collapsed="false">
      <c r="B50" s="304" t="s">
        <v>159</v>
      </c>
      <c r="C50" s="509"/>
      <c r="D50" s="509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204"/>
    </row>
    <row r="51" customFormat="false" ht="12.75" hidden="false" customHeight="false" outlineLevel="0" collapsed="false">
      <c r="A51" s="386" t="s">
        <v>233</v>
      </c>
      <c r="B51" s="510" t="n">
        <v>0</v>
      </c>
      <c r="C51" s="509"/>
      <c r="D51" s="511"/>
      <c r="E51" s="511" t="n">
        <f aca="false">$B$51*2606</f>
        <v>0</v>
      </c>
      <c r="F51" s="511" t="n">
        <f aca="false">$B$51*2667</f>
        <v>0</v>
      </c>
      <c r="G51" s="511" t="n">
        <f aca="false">$B$51*2676</f>
        <v>0</v>
      </c>
      <c r="H51" s="157" t="n">
        <f aca="false">$B$51*2*1289</f>
        <v>0</v>
      </c>
      <c r="I51" s="184" t="n">
        <f aca="false">H51*I62</f>
        <v>0</v>
      </c>
      <c r="J51" s="184" t="n">
        <f aca="false">I51*J62</f>
        <v>0</v>
      </c>
      <c r="K51" s="184" t="n">
        <f aca="false">J51*K62</f>
        <v>0</v>
      </c>
      <c r="L51" s="184" t="n">
        <f aca="false">K51*L62</f>
        <v>0</v>
      </c>
      <c r="M51" s="184" t="n">
        <f aca="false">L51*M62</f>
        <v>0</v>
      </c>
      <c r="N51" s="184" t="n">
        <f aca="false">M51*N62</f>
        <v>0</v>
      </c>
      <c r="O51" s="184" t="n">
        <f aca="false">N51*O62</f>
        <v>0</v>
      </c>
      <c r="P51" s="184" t="n">
        <f aca="false">O51*P62</f>
        <v>0</v>
      </c>
      <c r="Q51" s="184" t="n">
        <f aca="false">P51*Q62</f>
        <v>0</v>
      </c>
      <c r="R51" s="184" t="n">
        <f aca="false">Q51*R62</f>
        <v>0</v>
      </c>
      <c r="S51" s="204"/>
    </row>
    <row r="52" customFormat="false" ht="12.75" hidden="false" customHeight="false" outlineLevel="0" collapsed="false">
      <c r="A52" s="512" t="s">
        <v>234</v>
      </c>
      <c r="B52" s="510" t="n">
        <v>0</v>
      </c>
      <c r="C52" s="509"/>
      <c r="D52" s="511"/>
      <c r="E52" s="511" t="n">
        <f aca="false">$B$52*1051</f>
        <v>0</v>
      </c>
      <c r="F52" s="511" t="n">
        <f aca="false">$B$52*1156</f>
        <v>0</v>
      </c>
      <c r="G52" s="511" t="n">
        <f aca="false">$B$52*1196</f>
        <v>0</v>
      </c>
      <c r="H52" s="157" t="n">
        <f aca="false">$B$52*2*779</f>
        <v>0</v>
      </c>
      <c r="I52" s="184" t="n">
        <f aca="false">H52*I63</f>
        <v>0</v>
      </c>
      <c r="J52" s="184" t="n">
        <f aca="false">I52*J63</f>
        <v>0</v>
      </c>
      <c r="K52" s="184" t="n">
        <f aca="false">J52*K63</f>
        <v>0</v>
      </c>
      <c r="L52" s="184" t="n">
        <f aca="false">K52*L63</f>
        <v>0</v>
      </c>
      <c r="M52" s="184" t="n">
        <f aca="false">L52*M63</f>
        <v>0</v>
      </c>
      <c r="N52" s="184" t="n">
        <f aca="false">M52*N63</f>
        <v>0</v>
      </c>
      <c r="O52" s="184" t="n">
        <f aca="false">N52*O63</f>
        <v>0</v>
      </c>
      <c r="P52" s="184" t="n">
        <f aca="false">O52*P63</f>
        <v>0</v>
      </c>
      <c r="Q52" s="184" t="n">
        <f aca="false">P52*Q63</f>
        <v>0</v>
      </c>
      <c r="R52" s="184" t="n">
        <f aca="false">Q52*R63</f>
        <v>0</v>
      </c>
      <c r="S52" s="204"/>
    </row>
    <row r="53" customFormat="false" ht="12.75" hidden="false" customHeight="false" outlineLevel="0" collapsed="false">
      <c r="A53" s="512" t="s">
        <v>235</v>
      </c>
      <c r="B53" s="510" t="n">
        <v>1</v>
      </c>
      <c r="C53" s="509"/>
      <c r="D53" s="511" t="n">
        <v>495308</v>
      </c>
      <c r="E53" s="511" t="n">
        <v>480386</v>
      </c>
      <c r="F53" s="511" t="n">
        <v>449413</v>
      </c>
      <c r="G53" s="511" t="n">
        <v>445491</v>
      </c>
      <c r="H53" s="184" t="n">
        <v>453439</v>
      </c>
      <c r="I53" s="184" t="n">
        <v>442358</v>
      </c>
      <c r="J53" s="184" t="n">
        <f aca="false">I53*J64</f>
        <v>451205.16</v>
      </c>
      <c r="K53" s="184" t="n">
        <f aca="false">J53*K64</f>
        <v>460229.2632</v>
      </c>
      <c r="L53" s="184" t="n">
        <f aca="false">K53*L64</f>
        <v>469433.848464</v>
      </c>
      <c r="M53" s="184" t="n">
        <f aca="false">L53*M64</f>
        <v>478822.52543328</v>
      </c>
      <c r="N53" s="184" t="n">
        <f aca="false">M53*N64</f>
        <v>488398.975941946</v>
      </c>
      <c r="O53" s="184" t="n">
        <f aca="false">N53*O64</f>
        <v>498166.955460785</v>
      </c>
      <c r="P53" s="184" t="n">
        <f aca="false">O53*P64</f>
        <v>508130.29457</v>
      </c>
      <c r="Q53" s="184" t="n">
        <f aca="false">P53*Q64</f>
        <v>518292.9004614</v>
      </c>
      <c r="R53" s="184" t="n">
        <f aca="false">Q53*R64</f>
        <v>528658.758470628</v>
      </c>
      <c r="S53" s="204"/>
    </row>
    <row r="54" customFormat="false" ht="12.75" hidden="false" customHeight="false" outlineLevel="0" collapsed="false">
      <c r="A54" s="386" t="s">
        <v>236</v>
      </c>
      <c r="B54" s="510" t="n">
        <v>0</v>
      </c>
      <c r="C54" s="509"/>
      <c r="D54" s="511"/>
      <c r="E54" s="511" t="n">
        <f aca="false">$B$54*277</f>
        <v>0</v>
      </c>
      <c r="F54" s="511" t="n">
        <f aca="false">$B$54*390</f>
        <v>0</v>
      </c>
      <c r="G54" s="511" t="n">
        <f aca="false">$B$54*500</f>
        <v>0</v>
      </c>
      <c r="H54" s="157" t="n">
        <f aca="false">$B$54*2*216</f>
        <v>0</v>
      </c>
      <c r="I54" s="184" t="n">
        <f aca="false">H54*I65</f>
        <v>0</v>
      </c>
      <c r="J54" s="184" t="n">
        <f aca="false">I54*J65</f>
        <v>0</v>
      </c>
      <c r="K54" s="184" t="n">
        <f aca="false">J54*K65</f>
        <v>0</v>
      </c>
      <c r="L54" s="184" t="n">
        <f aca="false">K54*L65</f>
        <v>0</v>
      </c>
      <c r="M54" s="184" t="n">
        <f aca="false">L54*M65</f>
        <v>0</v>
      </c>
      <c r="N54" s="184" t="n">
        <f aca="false">M54*N65</f>
        <v>0</v>
      </c>
      <c r="O54" s="184" t="n">
        <f aca="false">N54*O65</f>
        <v>0</v>
      </c>
      <c r="P54" s="184" t="n">
        <f aca="false">O54*P65</f>
        <v>0</v>
      </c>
      <c r="Q54" s="184" t="n">
        <f aca="false">P54*Q65</f>
        <v>0</v>
      </c>
      <c r="R54" s="184" t="n">
        <f aca="false">Q54*R65</f>
        <v>0</v>
      </c>
      <c r="S54" s="204"/>
    </row>
    <row r="55" customFormat="false" ht="12.75" hidden="false" customHeight="false" outlineLevel="0" collapsed="false">
      <c r="A55" s="386" t="s">
        <v>237</v>
      </c>
      <c r="B55" s="510" t="n">
        <v>0</v>
      </c>
      <c r="C55" s="509"/>
      <c r="D55" s="511"/>
      <c r="E55" s="511" t="n">
        <f aca="false">$B$55*63</f>
        <v>0</v>
      </c>
      <c r="F55" s="511" t="n">
        <f aca="false">$B$55*98</f>
        <v>0</v>
      </c>
      <c r="G55" s="511" t="n">
        <f aca="false">$B$55*131</f>
        <v>0</v>
      </c>
      <c r="H55" s="157" t="n">
        <f aca="false">$B$55*2*96</f>
        <v>0</v>
      </c>
      <c r="I55" s="184" t="n">
        <f aca="false">H55*I66</f>
        <v>0</v>
      </c>
      <c r="J55" s="184" t="n">
        <f aca="false">I55*J66</f>
        <v>0</v>
      </c>
      <c r="K55" s="184" t="n">
        <f aca="false">J55*K66</f>
        <v>0</v>
      </c>
      <c r="L55" s="184" t="n">
        <f aca="false">K55*L66</f>
        <v>0</v>
      </c>
      <c r="M55" s="184" t="n">
        <f aca="false">L55*M66</f>
        <v>0</v>
      </c>
      <c r="N55" s="184" t="n">
        <f aca="false">M55*N66</f>
        <v>0</v>
      </c>
      <c r="O55" s="184" t="n">
        <f aca="false">N55*O66</f>
        <v>0</v>
      </c>
      <c r="P55" s="184" t="n">
        <f aca="false">O55*P66</f>
        <v>0</v>
      </c>
      <c r="Q55" s="184" t="n">
        <f aca="false">P55*Q66</f>
        <v>0</v>
      </c>
      <c r="R55" s="184" t="n">
        <f aca="false">Q55*R66</f>
        <v>0</v>
      </c>
      <c r="S55" s="204"/>
    </row>
    <row r="56" customFormat="false" ht="12.75" hidden="false" customHeight="false" outlineLevel="0" collapsed="false">
      <c r="A56" s="512" t="s">
        <v>238</v>
      </c>
      <c r="B56" s="510" t="n">
        <v>1</v>
      </c>
      <c r="C56" s="509"/>
      <c r="D56" s="511" t="n">
        <v>6453</v>
      </c>
      <c r="E56" s="511" t="n">
        <v>6658</v>
      </c>
      <c r="F56" s="511" t="n">
        <v>38611</v>
      </c>
      <c r="G56" s="511" t="n">
        <v>55877</v>
      </c>
      <c r="H56" s="184" t="n">
        <v>33283</v>
      </c>
      <c r="I56" s="184" t="n">
        <f aca="false">+H56</f>
        <v>33283</v>
      </c>
      <c r="J56" s="184" t="n">
        <f aca="false">I56*J67</f>
        <v>33283</v>
      </c>
      <c r="K56" s="184" t="n">
        <f aca="false">J56*K67</f>
        <v>33283</v>
      </c>
      <c r="L56" s="184" t="n">
        <f aca="false">K56*L67</f>
        <v>33283</v>
      </c>
      <c r="M56" s="184" t="n">
        <f aca="false">L56*M67</f>
        <v>33283</v>
      </c>
      <c r="N56" s="184" t="n">
        <f aca="false">M56*N67</f>
        <v>33283</v>
      </c>
      <c r="O56" s="184" t="n">
        <f aca="false">N56*O67</f>
        <v>33283</v>
      </c>
      <c r="P56" s="184" t="n">
        <f aca="false">O56*P67</f>
        <v>33283</v>
      </c>
      <c r="Q56" s="184" t="n">
        <f aca="false">P56*Q67</f>
        <v>33283</v>
      </c>
      <c r="R56" s="184" t="n">
        <f aca="false">Q56*R67</f>
        <v>33283</v>
      </c>
      <c r="S56" s="204"/>
    </row>
    <row r="57" customFormat="false" ht="12.75" hidden="false" customHeight="false" outlineLevel="0" collapsed="false">
      <c r="A57" s="512" t="s">
        <v>239</v>
      </c>
      <c r="B57" s="510" t="n">
        <v>0</v>
      </c>
      <c r="C57" s="509"/>
      <c r="D57" s="511"/>
      <c r="E57" s="511" t="n">
        <f aca="false">$B$57*30</f>
        <v>0</v>
      </c>
      <c r="F57" s="511" t="n">
        <f aca="false">$B$57*177</f>
        <v>0</v>
      </c>
      <c r="G57" s="511" t="n">
        <f aca="false">$B$57*265</f>
        <v>0</v>
      </c>
      <c r="H57" s="157" t="n">
        <f aca="false">$B$57*2*72</f>
        <v>0</v>
      </c>
      <c r="I57" s="184" t="n">
        <f aca="false">H57*I68</f>
        <v>0</v>
      </c>
      <c r="J57" s="184" t="n">
        <f aca="false">I57*J68</f>
        <v>0</v>
      </c>
      <c r="K57" s="184" t="n">
        <f aca="false">J57*K68</f>
        <v>0</v>
      </c>
      <c r="L57" s="184" t="n">
        <f aca="false">K57*L68</f>
        <v>0</v>
      </c>
      <c r="M57" s="184" t="n">
        <f aca="false">L57*M68</f>
        <v>0</v>
      </c>
      <c r="N57" s="184" t="n">
        <f aca="false">M57*N68</f>
        <v>0</v>
      </c>
      <c r="O57" s="184" t="n">
        <f aca="false">N57*O68</f>
        <v>0</v>
      </c>
      <c r="P57" s="184" t="n">
        <f aca="false">O57*P68</f>
        <v>0</v>
      </c>
      <c r="Q57" s="184" t="n">
        <f aca="false">P57*Q68</f>
        <v>0</v>
      </c>
      <c r="R57" s="184" t="n">
        <f aca="false">Q57*R68</f>
        <v>0</v>
      </c>
      <c r="S57" s="204"/>
    </row>
    <row r="58" customFormat="false" ht="12.75" hidden="false" customHeight="false" outlineLevel="0" collapsed="false">
      <c r="A58" s="513" t="s">
        <v>240</v>
      </c>
      <c r="B58" s="103" t="n">
        <v>1</v>
      </c>
      <c r="C58" s="514"/>
      <c r="D58" s="515" t="n">
        <v>5878</v>
      </c>
      <c r="E58" s="515" t="n">
        <v>2873</v>
      </c>
      <c r="F58" s="515" t="n">
        <v>3276</v>
      </c>
      <c r="G58" s="515" t="n">
        <v>4153</v>
      </c>
      <c r="H58" s="193" t="n">
        <v>8429</v>
      </c>
      <c r="I58" s="193" t="n">
        <v>13450</v>
      </c>
      <c r="J58" s="193" t="n">
        <f aca="false">I58*J69</f>
        <v>13450</v>
      </c>
      <c r="K58" s="193" t="n">
        <f aca="false">J58*K69</f>
        <v>13450</v>
      </c>
      <c r="L58" s="193" t="n">
        <f aca="false">K58*L69</f>
        <v>13450</v>
      </c>
      <c r="M58" s="193" t="n">
        <f aca="false">L58*M69</f>
        <v>14122.5</v>
      </c>
      <c r="N58" s="193" t="n">
        <f aca="false">M58*N69</f>
        <v>14828.625</v>
      </c>
      <c r="O58" s="193" t="n">
        <f aca="false">N58*O69</f>
        <v>15570.05625</v>
      </c>
      <c r="P58" s="193" t="n">
        <f aca="false">O58*P69</f>
        <v>16348.5590625</v>
      </c>
      <c r="Q58" s="193" t="n">
        <f aca="false">P58*Q69</f>
        <v>17165.987015625</v>
      </c>
      <c r="R58" s="193" t="n">
        <f aca="false">Q58*R69</f>
        <v>18024.2863664063</v>
      </c>
      <c r="S58" s="204"/>
    </row>
    <row r="59" customFormat="false" ht="12.75" hidden="false" customHeight="false" outlineLevel="0" collapsed="false">
      <c r="A59" s="328" t="s">
        <v>241</v>
      </c>
      <c r="B59" s="70"/>
      <c r="C59" s="509"/>
      <c r="D59" s="457" t="n">
        <f aca="false">SUM(D51:D58)</f>
        <v>507639</v>
      </c>
      <c r="E59" s="457" t="n">
        <f aca="false">SUM(E51:E58)</f>
        <v>489917</v>
      </c>
      <c r="F59" s="457" t="n">
        <f aca="false">SUM(F51:F58)</f>
        <v>491300</v>
      </c>
      <c r="G59" s="457" t="n">
        <f aca="false">SUM(G51:G58)</f>
        <v>505521</v>
      </c>
      <c r="H59" s="176" t="n">
        <f aca="false">SUM(H51:H58)</f>
        <v>495151</v>
      </c>
      <c r="I59" s="176" t="n">
        <f aca="false">SUM(I51:I58)</f>
        <v>489091</v>
      </c>
      <c r="J59" s="176" t="n">
        <f aca="false">SUM(J51:J58)</f>
        <v>497938.16</v>
      </c>
      <c r="K59" s="176" t="n">
        <f aca="false">SUM(K51:K58)</f>
        <v>506962.2632</v>
      </c>
      <c r="L59" s="176" t="n">
        <f aca="false">SUM(L51:L58)</f>
        <v>516166.848464</v>
      </c>
      <c r="M59" s="176" t="n">
        <f aca="false">SUM(M51:M58)</f>
        <v>526228.02543328</v>
      </c>
      <c r="N59" s="176" t="n">
        <f aca="false">SUM(N51:N58)</f>
        <v>536510.600941946</v>
      </c>
      <c r="O59" s="176" t="n">
        <f aca="false">SUM(O51:O58)</f>
        <v>547020.011710785</v>
      </c>
      <c r="P59" s="176" t="n">
        <f aca="false">SUM(P51:P58)</f>
        <v>557761.8536325</v>
      </c>
      <c r="Q59" s="176" t="n">
        <f aca="false">SUM(Q51:Q58)</f>
        <v>568741.887477025</v>
      </c>
      <c r="R59" s="176" t="n">
        <f aca="false">SUM(R51:R58)</f>
        <v>579966.044837035</v>
      </c>
      <c r="S59" s="204"/>
    </row>
    <row r="60" customFormat="false" ht="12.75" hidden="false" customHeight="false" outlineLevel="0" collapsed="false">
      <c r="C60" s="509"/>
      <c r="D60" s="509"/>
      <c r="E60" s="516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204"/>
    </row>
    <row r="61" customFormat="false" ht="15.75" hidden="true" customHeight="false" outlineLevel="1" collapsed="false">
      <c r="A61" s="517" t="s">
        <v>242</v>
      </c>
      <c r="B61" s="85"/>
      <c r="C61" s="518"/>
      <c r="D61" s="518"/>
      <c r="E61" s="519"/>
      <c r="F61" s="85"/>
      <c r="G61" s="520"/>
      <c r="H61" s="521"/>
      <c r="I61" s="521"/>
      <c r="J61" s="521"/>
      <c r="K61" s="521"/>
      <c r="L61" s="521"/>
      <c r="M61" s="521"/>
      <c r="N61" s="521"/>
      <c r="O61" s="521"/>
      <c r="P61" s="521"/>
      <c r="Q61" s="521"/>
      <c r="R61" s="521"/>
      <c r="S61" s="290"/>
    </row>
    <row r="62" customFormat="false" ht="12.75" hidden="true" customHeight="false" outlineLevel="1" collapsed="false">
      <c r="A62" s="386" t="s">
        <v>233</v>
      </c>
      <c r="C62" s="509"/>
      <c r="D62" s="509"/>
      <c r="E62" s="516"/>
      <c r="H62" s="90" t="n">
        <v>1.01</v>
      </c>
      <c r="I62" s="90" t="n">
        <v>1.01</v>
      </c>
      <c r="J62" s="90" t="n">
        <v>1.01</v>
      </c>
      <c r="K62" s="90" t="n">
        <v>1.01</v>
      </c>
      <c r="L62" s="90" t="n">
        <v>1.01</v>
      </c>
      <c r="M62" s="90" t="n">
        <v>1.01</v>
      </c>
      <c r="N62" s="90" t="n">
        <v>1.01</v>
      </c>
      <c r="O62" s="90" t="n">
        <v>1.01</v>
      </c>
      <c r="P62" s="90" t="n">
        <v>1.01</v>
      </c>
      <c r="Q62" s="90" t="n">
        <v>1.01</v>
      </c>
      <c r="R62" s="90" t="n">
        <v>1.01</v>
      </c>
      <c r="S62" s="204"/>
    </row>
    <row r="63" customFormat="false" ht="12.75" hidden="true" customHeight="false" outlineLevel="1" collapsed="false">
      <c r="A63" s="512" t="s">
        <v>234</v>
      </c>
      <c r="C63" s="509"/>
      <c r="D63" s="509"/>
      <c r="E63" s="70"/>
      <c r="F63" s="70"/>
      <c r="G63" s="70"/>
      <c r="H63" s="90" t="n">
        <v>1.02</v>
      </c>
      <c r="I63" s="90" t="n">
        <v>1.02</v>
      </c>
      <c r="J63" s="90" t="n">
        <v>1.02</v>
      </c>
      <c r="K63" s="90" t="n">
        <v>1.02</v>
      </c>
      <c r="L63" s="90" t="n">
        <v>1.02</v>
      </c>
      <c r="M63" s="90" t="n">
        <v>1.02</v>
      </c>
      <c r="N63" s="90" t="n">
        <v>1.02</v>
      </c>
      <c r="O63" s="90" t="n">
        <v>1.02</v>
      </c>
      <c r="P63" s="90" t="n">
        <v>1.02</v>
      </c>
      <c r="Q63" s="90" t="n">
        <v>1.02</v>
      </c>
      <c r="R63" s="90" t="n">
        <v>1.02</v>
      </c>
      <c r="S63" s="204"/>
    </row>
    <row r="64" customFormat="false" ht="12.75" hidden="true" customHeight="false" outlineLevel="1" collapsed="false">
      <c r="A64" s="512" t="s">
        <v>243</v>
      </c>
      <c r="C64" s="509"/>
      <c r="D64" s="522"/>
      <c r="E64" s="70" t="n">
        <f aca="false">E53/D53</f>
        <v>0.969873290962391</v>
      </c>
      <c r="F64" s="70" t="n">
        <f aca="false">F53/E53</f>
        <v>0.935524765501076</v>
      </c>
      <c r="G64" s="70" t="n">
        <f aca="false">G53/F53</f>
        <v>0.991273060636875</v>
      </c>
      <c r="H64" s="100" t="n">
        <f aca="false">AVERAGE(E64:G64)</f>
        <v>0.965557039033448</v>
      </c>
      <c r="I64" s="90" t="n">
        <v>1.02</v>
      </c>
      <c r="J64" s="90" t="n">
        <v>1.02</v>
      </c>
      <c r="K64" s="90" t="n">
        <f aca="false">+J64</f>
        <v>1.02</v>
      </c>
      <c r="L64" s="90" t="n">
        <f aca="false">+K64</f>
        <v>1.02</v>
      </c>
      <c r="M64" s="90" t="n">
        <f aca="false">+L64</f>
        <v>1.02</v>
      </c>
      <c r="N64" s="90" t="n">
        <f aca="false">+M64</f>
        <v>1.02</v>
      </c>
      <c r="O64" s="90" t="n">
        <f aca="false">+N64</f>
        <v>1.02</v>
      </c>
      <c r="P64" s="90" t="n">
        <f aca="false">+O64</f>
        <v>1.02</v>
      </c>
      <c r="Q64" s="90" t="n">
        <f aca="false">+P64</f>
        <v>1.02</v>
      </c>
      <c r="R64" s="90" t="n">
        <f aca="false">+Q64</f>
        <v>1.02</v>
      </c>
      <c r="S64" s="204"/>
    </row>
    <row r="65" customFormat="false" ht="12.75" hidden="true" customHeight="false" outlineLevel="1" collapsed="false">
      <c r="A65" s="386" t="s">
        <v>236</v>
      </c>
      <c r="C65" s="509"/>
      <c r="D65" s="509"/>
      <c r="E65" s="70"/>
      <c r="F65" s="70"/>
      <c r="G65" s="70"/>
      <c r="H65" s="90" t="n">
        <v>1.02</v>
      </c>
      <c r="I65" s="90" t="n">
        <v>1.02</v>
      </c>
      <c r="J65" s="90" t="n">
        <v>1.02</v>
      </c>
      <c r="K65" s="90" t="n">
        <v>1.02</v>
      </c>
      <c r="L65" s="90" t="n">
        <v>1.02</v>
      </c>
      <c r="M65" s="90" t="n">
        <v>1.02</v>
      </c>
      <c r="N65" s="90" t="n">
        <v>1.02</v>
      </c>
      <c r="O65" s="90" t="n">
        <v>1.02</v>
      </c>
      <c r="P65" s="90" t="n">
        <v>1.02</v>
      </c>
      <c r="Q65" s="90" t="n">
        <v>1.02</v>
      </c>
      <c r="R65" s="90" t="n">
        <v>1.02</v>
      </c>
      <c r="S65" s="204"/>
    </row>
    <row r="66" customFormat="false" ht="12.75" hidden="true" customHeight="false" outlineLevel="1" collapsed="false">
      <c r="A66" s="386" t="s">
        <v>244</v>
      </c>
      <c r="C66" s="509"/>
      <c r="D66" s="509"/>
      <c r="E66" s="70"/>
      <c r="F66" s="70"/>
      <c r="G66" s="70"/>
      <c r="H66" s="90" t="n">
        <v>1.03</v>
      </c>
      <c r="I66" s="90" t="n">
        <v>1.03</v>
      </c>
      <c r="J66" s="90" t="n">
        <v>1.03</v>
      </c>
      <c r="K66" s="90" t="n">
        <v>1.03</v>
      </c>
      <c r="L66" s="90" t="n">
        <v>1.03</v>
      </c>
      <c r="M66" s="90" t="n">
        <v>1.03</v>
      </c>
      <c r="N66" s="90" t="n">
        <v>1.03</v>
      </c>
      <c r="O66" s="90" t="n">
        <v>1.03</v>
      </c>
      <c r="P66" s="90" t="n">
        <v>1.03</v>
      </c>
      <c r="Q66" s="90" t="n">
        <v>1.03</v>
      </c>
      <c r="R66" s="90" t="n">
        <v>1.03</v>
      </c>
      <c r="S66" s="204"/>
    </row>
    <row r="67" customFormat="false" ht="12.75" hidden="true" customHeight="false" outlineLevel="1" collapsed="false">
      <c r="A67" s="512" t="str">
        <f aca="false">A56</f>
        <v>Gas and Liquids Sold</v>
      </c>
      <c r="C67" s="509"/>
      <c r="D67" s="509"/>
      <c r="E67" s="70" t="n">
        <f aca="false">E56/D56</f>
        <v>1.03176816984348</v>
      </c>
      <c r="F67" s="70" t="n">
        <f aca="false">F56/E56</f>
        <v>5.79918894562932</v>
      </c>
      <c r="G67" s="70" t="n">
        <f aca="false">G56/F56</f>
        <v>1.4471782652612</v>
      </c>
      <c r="H67" s="90" t="n">
        <v>1.08</v>
      </c>
      <c r="I67" s="90" t="n">
        <v>1</v>
      </c>
      <c r="J67" s="90" t="n">
        <v>1</v>
      </c>
      <c r="K67" s="90" t="n">
        <v>1</v>
      </c>
      <c r="L67" s="90" t="n">
        <v>1</v>
      </c>
      <c r="M67" s="90" t="n">
        <v>1</v>
      </c>
      <c r="N67" s="90" t="n">
        <v>1</v>
      </c>
      <c r="O67" s="90" t="n">
        <v>1</v>
      </c>
      <c r="P67" s="90" t="n">
        <v>1</v>
      </c>
      <c r="Q67" s="90" t="n">
        <v>1</v>
      </c>
      <c r="R67" s="90" t="n">
        <v>1</v>
      </c>
      <c r="S67" s="204"/>
    </row>
    <row r="68" customFormat="false" ht="12.75" hidden="true" customHeight="false" outlineLevel="1" collapsed="false">
      <c r="A68" s="512" t="s">
        <v>239</v>
      </c>
      <c r="C68" s="509"/>
      <c r="D68" s="509"/>
      <c r="E68" s="70"/>
      <c r="F68" s="70"/>
      <c r="G68" s="70"/>
      <c r="H68" s="90" t="n">
        <v>1.01</v>
      </c>
      <c r="I68" s="90" t="n">
        <v>1.01</v>
      </c>
      <c r="J68" s="90" t="n">
        <v>1.01</v>
      </c>
      <c r="K68" s="90" t="n">
        <v>1.01</v>
      </c>
      <c r="L68" s="90" t="n">
        <v>1.01</v>
      </c>
      <c r="M68" s="90" t="n">
        <v>1.01</v>
      </c>
      <c r="N68" s="90" t="n">
        <v>1.01</v>
      </c>
      <c r="O68" s="90" t="n">
        <v>1.01</v>
      </c>
      <c r="P68" s="90" t="n">
        <v>1.01</v>
      </c>
      <c r="Q68" s="90" t="n">
        <v>1.01</v>
      </c>
      <c r="R68" s="90" t="n">
        <v>1.01</v>
      </c>
      <c r="S68" s="204"/>
    </row>
    <row r="69" customFormat="false" ht="12.75" hidden="true" customHeight="false" outlineLevel="1" collapsed="false">
      <c r="A69" s="454" t="s">
        <v>240</v>
      </c>
      <c r="C69" s="509"/>
      <c r="D69" s="509"/>
      <c r="E69" s="70" t="n">
        <f aca="false">E58/D58</f>
        <v>0.488771691051378</v>
      </c>
      <c r="F69" s="70" t="n">
        <f aca="false">F58/E58</f>
        <v>1.14027149321267</v>
      </c>
      <c r="G69" s="70" t="n">
        <f aca="false">G58/F58</f>
        <v>1.26770451770452</v>
      </c>
      <c r="H69" s="90" t="n">
        <v>1.05</v>
      </c>
      <c r="I69" s="90" t="n">
        <v>1</v>
      </c>
      <c r="J69" s="90" t="n">
        <f aca="false">I69</f>
        <v>1</v>
      </c>
      <c r="K69" s="90" t="n">
        <f aca="false">J69</f>
        <v>1</v>
      </c>
      <c r="L69" s="90" t="n">
        <f aca="false">K69</f>
        <v>1</v>
      </c>
      <c r="M69" s="90" t="n">
        <v>1.05</v>
      </c>
      <c r="N69" s="90" t="n">
        <v>1.05</v>
      </c>
      <c r="O69" s="90" t="n">
        <v>1.05</v>
      </c>
      <c r="P69" s="90" t="n">
        <v>1.05</v>
      </c>
      <c r="Q69" s="90" t="n">
        <v>1.05</v>
      </c>
      <c r="R69" s="90" t="n">
        <v>1.05</v>
      </c>
      <c r="S69" s="204"/>
    </row>
    <row r="70" customFormat="false" ht="12.75" hidden="true" customHeight="false" outlineLevel="1" collapsed="false">
      <c r="S70" s="204"/>
    </row>
    <row r="71" customFormat="false" ht="12.75" hidden="true" customHeight="false" outlineLevel="1" collapsed="false">
      <c r="S71" s="204"/>
    </row>
    <row r="72" customFormat="false" ht="15.75" hidden="false" customHeight="false" outlineLevel="0" collapsed="false">
      <c r="A72" s="284" t="s">
        <v>245</v>
      </c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204"/>
    </row>
    <row r="73" customFormat="false" ht="14.25" hidden="false" customHeight="true" outlineLevel="0" collapsed="false">
      <c r="A73" s="288"/>
      <c r="B73" s="204"/>
      <c r="C73" s="204"/>
      <c r="D73" s="204"/>
      <c r="E73" s="292"/>
      <c r="F73" s="292"/>
      <c r="G73" s="293"/>
      <c r="H73" s="294" t="s">
        <v>156</v>
      </c>
      <c r="I73" s="295"/>
      <c r="J73" s="293"/>
      <c r="K73" s="293"/>
      <c r="L73" s="296"/>
      <c r="M73" s="293"/>
      <c r="N73" s="296"/>
      <c r="O73" s="296"/>
      <c r="P73" s="296"/>
      <c r="Q73" s="296"/>
      <c r="R73" s="75"/>
      <c r="S73" s="204"/>
    </row>
    <row r="74" customFormat="false" ht="15.75" hidden="false" customHeight="false" outlineLevel="0" collapsed="false">
      <c r="A74" s="288"/>
      <c r="B74" s="304" t="s">
        <v>159</v>
      </c>
      <c r="C74" s="204"/>
      <c r="D74" s="452" t="n">
        <v>1997</v>
      </c>
      <c r="E74" s="297" t="n">
        <v>1998</v>
      </c>
      <c r="F74" s="297" t="n">
        <v>1999</v>
      </c>
      <c r="G74" s="297" t="n">
        <v>2000</v>
      </c>
      <c r="H74" s="297" t="n">
        <v>2001</v>
      </c>
      <c r="I74" s="298" t="n">
        <v>2002</v>
      </c>
      <c r="J74" s="298" t="n">
        <v>2003</v>
      </c>
      <c r="K74" s="298" t="n">
        <v>2004</v>
      </c>
      <c r="L74" s="298" t="n">
        <v>2005</v>
      </c>
      <c r="M74" s="298" t="n">
        <v>2006</v>
      </c>
      <c r="N74" s="299" t="n">
        <v>2007</v>
      </c>
      <c r="O74" s="299" t="n">
        <v>2008</v>
      </c>
      <c r="P74" s="299" t="n">
        <v>2009</v>
      </c>
      <c r="Q74" s="299" t="n">
        <v>2010</v>
      </c>
      <c r="R74" s="414" t="n">
        <v>2011</v>
      </c>
      <c r="S74" s="204"/>
    </row>
    <row r="75" customFormat="false" ht="12.75" hidden="false" customHeight="false" outlineLevel="0" collapsed="false">
      <c r="A75" s="386" t="s">
        <v>246</v>
      </c>
      <c r="B75" s="510" t="n">
        <v>0</v>
      </c>
      <c r="C75" s="16"/>
      <c r="D75" s="511"/>
      <c r="E75" s="511" t="n">
        <f aca="false">$B$75*359</f>
        <v>0</v>
      </c>
      <c r="F75" s="511" t="n">
        <f aca="false">$B$75*406</f>
        <v>0</v>
      </c>
      <c r="G75" s="511" t="n">
        <f aca="false">$B$75*408</f>
        <v>0</v>
      </c>
      <c r="H75" s="157" t="n">
        <f aca="false">$B$75*2*171</f>
        <v>0</v>
      </c>
      <c r="I75" s="184" t="n">
        <f aca="false">H75*I86</f>
        <v>0</v>
      </c>
      <c r="J75" s="184" t="n">
        <f aca="false">I75*J86</f>
        <v>0</v>
      </c>
      <c r="K75" s="184" t="n">
        <f aca="false">J75*K86</f>
        <v>0</v>
      </c>
      <c r="L75" s="184" t="n">
        <f aca="false">K75*L86</f>
        <v>0</v>
      </c>
      <c r="M75" s="184" t="n">
        <f aca="false">L75*M86</f>
        <v>0</v>
      </c>
      <c r="N75" s="184" t="n">
        <f aca="false">M75*N86</f>
        <v>0</v>
      </c>
      <c r="O75" s="184" t="n">
        <f aca="false">N75*O86</f>
        <v>0</v>
      </c>
      <c r="P75" s="184" t="n">
        <f aca="false">O75*P86</f>
        <v>0</v>
      </c>
      <c r="Q75" s="184" t="n">
        <f aca="false">P75*Q86</f>
        <v>0</v>
      </c>
      <c r="R75" s="184" t="n">
        <f aca="false">Q75*R86</f>
        <v>0</v>
      </c>
      <c r="S75" s="204"/>
    </row>
    <row r="76" customFormat="false" ht="12.75" hidden="false" customHeight="false" outlineLevel="0" collapsed="false">
      <c r="A76" s="523" t="s">
        <v>247</v>
      </c>
      <c r="B76" s="510" t="n">
        <v>0</v>
      </c>
      <c r="C76" s="16"/>
      <c r="D76" s="511"/>
      <c r="E76" s="511" t="n">
        <f aca="false">$B$76*287</f>
        <v>0</v>
      </c>
      <c r="F76" s="511" t="n">
        <f aca="false">$B$76*108</f>
        <v>0</v>
      </c>
      <c r="G76" s="511" t="n">
        <f aca="false">$B$76*1457</f>
        <v>0</v>
      </c>
      <c r="H76" s="157" t="n">
        <f aca="false">$B$76*2*2999</f>
        <v>0</v>
      </c>
      <c r="I76" s="184" t="n">
        <f aca="false">H76*I87</f>
        <v>0</v>
      </c>
      <c r="J76" s="184" t="n">
        <f aca="false">I76*J87</f>
        <v>0</v>
      </c>
      <c r="K76" s="184" t="n">
        <f aca="false">J76*K87</f>
        <v>0</v>
      </c>
      <c r="L76" s="184" t="n">
        <f aca="false">K76*L87</f>
        <v>0</v>
      </c>
      <c r="M76" s="184" t="n">
        <f aca="false">L76*M87</f>
        <v>0</v>
      </c>
      <c r="N76" s="184" t="n">
        <f aca="false">M76*N87</f>
        <v>0</v>
      </c>
      <c r="O76" s="184" t="n">
        <f aca="false">N76*O87</f>
        <v>0</v>
      </c>
      <c r="P76" s="184" t="n">
        <f aca="false">O76*P87</f>
        <v>0</v>
      </c>
      <c r="Q76" s="184" t="n">
        <f aca="false">P76*Q87</f>
        <v>0</v>
      </c>
      <c r="R76" s="184" t="n">
        <f aca="false">Q76*R87</f>
        <v>0</v>
      </c>
      <c r="S76" s="204"/>
    </row>
    <row r="77" customFormat="false" ht="12.75" hidden="false" customHeight="false" outlineLevel="0" collapsed="false">
      <c r="A77" s="386" t="s">
        <v>248</v>
      </c>
      <c r="B77" s="510" t="n">
        <v>0</v>
      </c>
      <c r="C77" s="16"/>
      <c r="D77" s="511"/>
      <c r="E77" s="511" t="n">
        <f aca="false">$B$77*297</f>
        <v>0</v>
      </c>
      <c r="F77" s="511" t="n">
        <f aca="false">$B$77*401</f>
        <v>0</v>
      </c>
      <c r="G77" s="511" t="n">
        <f aca="false">$B$77*529</f>
        <v>0</v>
      </c>
      <c r="H77" s="157" t="n">
        <f aca="false">$B$77*2*266</f>
        <v>0</v>
      </c>
      <c r="I77" s="184" t="n">
        <f aca="false">H77*I88</f>
        <v>0</v>
      </c>
      <c r="J77" s="184" t="n">
        <f aca="false">I77*J88</f>
        <v>0</v>
      </c>
      <c r="K77" s="184" t="n">
        <f aca="false">J77*K88</f>
        <v>0</v>
      </c>
      <c r="L77" s="184" t="n">
        <f aca="false">K77*L88</f>
        <v>0</v>
      </c>
      <c r="M77" s="184" t="n">
        <f aca="false">L77*M88</f>
        <v>0</v>
      </c>
      <c r="N77" s="184" t="n">
        <f aca="false">M77*N88</f>
        <v>0</v>
      </c>
      <c r="O77" s="184" t="n">
        <f aca="false">N77*O88</f>
        <v>0</v>
      </c>
      <c r="P77" s="184" t="n">
        <f aca="false">O77*P88</f>
        <v>0</v>
      </c>
      <c r="Q77" s="184" t="n">
        <f aca="false">P77*Q88</f>
        <v>0</v>
      </c>
      <c r="R77" s="184" t="n">
        <f aca="false">Q77*R88</f>
        <v>0</v>
      </c>
      <c r="S77" s="204"/>
    </row>
    <row r="78" customFormat="false" ht="12.75" hidden="false" customHeight="false" outlineLevel="0" collapsed="false">
      <c r="A78" s="386" t="s">
        <v>249</v>
      </c>
      <c r="B78" s="510" t="n">
        <v>0</v>
      </c>
      <c r="C78" s="16"/>
      <c r="D78" s="511"/>
      <c r="E78" s="511" t="n">
        <f aca="false">$B$78*573</f>
        <v>0</v>
      </c>
      <c r="F78" s="511" t="n">
        <f aca="false">$B$78*560</f>
        <v>0</v>
      </c>
      <c r="G78" s="511" t="n">
        <f aca="false">$B$78*555</f>
        <v>0</v>
      </c>
      <c r="H78" s="157" t="n">
        <f aca="false">$B$78*2*244</f>
        <v>0</v>
      </c>
      <c r="I78" s="184" t="n">
        <f aca="false">H78*I89</f>
        <v>0</v>
      </c>
      <c r="J78" s="184" t="n">
        <f aca="false">I78*J89</f>
        <v>0</v>
      </c>
      <c r="K78" s="184" t="n">
        <f aca="false">J78*K89</f>
        <v>0</v>
      </c>
      <c r="L78" s="184" t="n">
        <f aca="false">K78*L89</f>
        <v>0</v>
      </c>
      <c r="M78" s="184" t="n">
        <f aca="false">L78*M89</f>
        <v>0</v>
      </c>
      <c r="N78" s="184" t="n">
        <f aca="false">M78*N89</f>
        <v>0</v>
      </c>
      <c r="O78" s="184" t="n">
        <f aca="false">N78*O89</f>
        <v>0</v>
      </c>
      <c r="P78" s="184" t="n">
        <f aca="false">O78*P89</f>
        <v>0</v>
      </c>
      <c r="Q78" s="184" t="n">
        <f aca="false">P78*Q89</f>
        <v>0</v>
      </c>
      <c r="R78" s="184" t="n">
        <f aca="false">Q78*R89</f>
        <v>0</v>
      </c>
      <c r="S78" s="204"/>
    </row>
    <row r="79" customFormat="false" ht="12.75" hidden="false" customHeight="false" outlineLevel="0" collapsed="false">
      <c r="A79" s="512" t="s">
        <v>250</v>
      </c>
      <c r="B79" s="510" t="n">
        <v>1</v>
      </c>
      <c r="C79" s="16"/>
      <c r="D79" s="511" t="n">
        <v>4411</v>
      </c>
      <c r="E79" s="511" t="n">
        <v>5823</v>
      </c>
      <c r="F79" s="511" t="n">
        <v>15992</v>
      </c>
      <c r="G79" s="511" t="n">
        <v>13688</v>
      </c>
      <c r="H79" s="157" t="n">
        <v>33311</v>
      </c>
      <c r="I79" s="184" t="n">
        <f aca="false">+I56</f>
        <v>33283</v>
      </c>
      <c r="J79" s="184" t="n">
        <f aca="false">I79*J90</f>
        <v>33283</v>
      </c>
      <c r="K79" s="184" t="n">
        <f aca="false">J79*K90</f>
        <v>33283</v>
      </c>
      <c r="L79" s="184" t="n">
        <f aca="false">K79*L90</f>
        <v>33283</v>
      </c>
      <c r="M79" s="184" t="n">
        <f aca="false">L79*M90</f>
        <v>33283</v>
      </c>
      <c r="N79" s="184" t="n">
        <f aca="false">M79*N90</f>
        <v>33283</v>
      </c>
      <c r="O79" s="184" t="n">
        <f aca="false">N79*O90</f>
        <v>33283</v>
      </c>
      <c r="P79" s="184" t="n">
        <f aca="false">O79*P90</f>
        <v>33283</v>
      </c>
      <c r="Q79" s="184" t="n">
        <f aca="false">P79*Q90</f>
        <v>33283</v>
      </c>
      <c r="R79" s="184" t="n">
        <f aca="false">Q79*R90</f>
        <v>33283</v>
      </c>
      <c r="S79" s="204"/>
    </row>
    <row r="80" customFormat="false" ht="12.75" hidden="false" customHeight="false" outlineLevel="0" collapsed="false">
      <c r="A80" s="386" t="s">
        <v>251</v>
      </c>
      <c r="B80" s="510" t="n">
        <v>1</v>
      </c>
      <c r="C80" s="16"/>
      <c r="D80" s="511"/>
      <c r="E80" s="511"/>
      <c r="F80" s="511"/>
      <c r="G80" s="511"/>
      <c r="H80" s="157" t="n">
        <v>23866</v>
      </c>
      <c r="I80" s="184" t="n">
        <v>19705</v>
      </c>
      <c r="J80" s="184" t="n">
        <f aca="false">I80*J91</f>
        <v>15764</v>
      </c>
      <c r="K80" s="184" t="n">
        <f aca="false">J80*K91</f>
        <v>12611.2</v>
      </c>
      <c r="L80" s="184" t="n">
        <f aca="false">K80*L91</f>
        <v>12611.2</v>
      </c>
      <c r="M80" s="184" t="n">
        <f aca="false">L80*M91</f>
        <v>12611.2</v>
      </c>
      <c r="N80" s="184" t="n">
        <f aca="false">M80*N91</f>
        <v>12611.2</v>
      </c>
      <c r="O80" s="184" t="n">
        <f aca="false">N80*O91</f>
        <v>12611.2</v>
      </c>
      <c r="P80" s="184" t="n">
        <f aca="false">O80*P91</f>
        <v>12611.2</v>
      </c>
      <c r="Q80" s="184" t="n">
        <f aca="false">P80*Q91</f>
        <v>12611.2</v>
      </c>
      <c r="R80" s="184" t="n">
        <f aca="false">Q80*R91</f>
        <v>12611.2</v>
      </c>
      <c r="S80" s="204"/>
    </row>
    <row r="81" customFormat="false" ht="12.75" hidden="false" customHeight="false" outlineLevel="0" collapsed="false">
      <c r="A81" s="386" t="s">
        <v>252</v>
      </c>
      <c r="B81" s="510" t="n">
        <v>1</v>
      </c>
      <c r="C81" s="16"/>
      <c r="D81" s="511" t="n">
        <v>183546</v>
      </c>
      <c r="E81" s="511" t="n">
        <v>171064</v>
      </c>
      <c r="F81" s="511" t="n">
        <v>191768</v>
      </c>
      <c r="G81" s="511" t="n">
        <v>194504</v>
      </c>
      <c r="H81" s="157" t="n">
        <f aca="false">167424+302</f>
        <v>167726</v>
      </c>
      <c r="I81" s="184" t="n">
        <v>172250</v>
      </c>
      <c r="J81" s="184" t="n">
        <f aca="false">I81*J92</f>
        <v>172250</v>
      </c>
      <c r="K81" s="184" t="n">
        <f aca="false">J81*K92</f>
        <v>172250</v>
      </c>
      <c r="L81" s="184" t="n">
        <f aca="false">K81*L92</f>
        <v>172250</v>
      </c>
      <c r="M81" s="184" t="n">
        <f aca="false">L81*M92</f>
        <v>172250</v>
      </c>
      <c r="N81" s="184" t="n">
        <f aca="false">M81*N92</f>
        <v>172250</v>
      </c>
      <c r="O81" s="184" t="n">
        <f aca="false">N81*O92</f>
        <v>172250</v>
      </c>
      <c r="P81" s="184" t="n">
        <f aca="false">O81*P92</f>
        <v>172250</v>
      </c>
      <c r="Q81" s="184" t="n">
        <f aca="false">P81*Q92</f>
        <v>172250</v>
      </c>
      <c r="R81" s="184" t="n">
        <f aca="false">Q81*R92</f>
        <v>172250</v>
      </c>
      <c r="S81" s="204"/>
    </row>
    <row r="82" customFormat="false" ht="12.75" hidden="false" customHeight="false" outlineLevel="0" collapsed="false">
      <c r="A82" s="524" t="s">
        <v>253</v>
      </c>
      <c r="B82" s="103" t="n">
        <v>1</v>
      </c>
      <c r="C82" s="75"/>
      <c r="D82" s="515" t="n">
        <v>28706</v>
      </c>
      <c r="E82" s="515" t="n">
        <v>30583</v>
      </c>
      <c r="F82" s="515" t="n">
        <v>31830</v>
      </c>
      <c r="G82" s="515" t="n">
        <v>32175</v>
      </c>
      <c r="H82" s="168" t="n">
        <v>32988</v>
      </c>
      <c r="I82" s="193" t="n">
        <v>33258</v>
      </c>
      <c r="J82" s="193" t="n">
        <f aca="false">I82*J93</f>
        <v>34098.3653146853</v>
      </c>
      <c r="K82" s="193" t="n">
        <f aca="false">J82*K93</f>
        <v>34098.3653146853</v>
      </c>
      <c r="L82" s="193" t="n">
        <f aca="false">K82*L93</f>
        <v>34098.3653146853</v>
      </c>
      <c r="M82" s="193" t="n">
        <f aca="false">L82*M93</f>
        <v>34098.3653146853</v>
      </c>
      <c r="N82" s="193" t="n">
        <f aca="false">M82*N93</f>
        <v>34098.3653146853</v>
      </c>
      <c r="O82" s="193" t="n">
        <f aca="false">N82*O93</f>
        <v>34098.3653146853</v>
      </c>
      <c r="P82" s="193" t="n">
        <f aca="false">O82*P93</f>
        <v>34098.3653146853</v>
      </c>
      <c r="Q82" s="193" t="n">
        <f aca="false">P82*Q93</f>
        <v>34098.3653146853</v>
      </c>
      <c r="R82" s="193" t="n">
        <f aca="false">Q82*R93</f>
        <v>34098.3653146853</v>
      </c>
      <c r="S82" s="204"/>
    </row>
    <row r="83" customFormat="false" ht="12.75" hidden="false" customHeight="false" outlineLevel="0" collapsed="false">
      <c r="A83" s="328" t="s">
        <v>254</v>
      </c>
      <c r="B83" s="209"/>
      <c r="C83" s="509"/>
      <c r="D83" s="457" t="n">
        <f aca="false">SUM(D75:D82)</f>
        <v>216663</v>
      </c>
      <c r="E83" s="457" t="n">
        <f aca="false">SUM(E75:E82)</f>
        <v>207470</v>
      </c>
      <c r="F83" s="457" t="n">
        <f aca="false">SUM(F75:F82)</f>
        <v>239590</v>
      </c>
      <c r="G83" s="457" t="n">
        <f aca="false">SUM(G75:G82)</f>
        <v>240367</v>
      </c>
      <c r="H83" s="176" t="n">
        <f aca="false">SUM(H75:H82)</f>
        <v>257891</v>
      </c>
      <c r="I83" s="176" t="n">
        <f aca="false">SUM(I75:I82)</f>
        <v>258496</v>
      </c>
      <c r="J83" s="176" t="n">
        <f aca="false">SUM(J75:J82)</f>
        <v>255395.365314685</v>
      </c>
      <c r="K83" s="176" t="n">
        <f aca="false">SUM(K75:K82)</f>
        <v>252242.565314685</v>
      </c>
      <c r="L83" s="176" t="n">
        <f aca="false">SUM(L75:L82)</f>
        <v>252242.565314685</v>
      </c>
      <c r="M83" s="176" t="n">
        <f aca="false">SUM(M75:M82)</f>
        <v>252242.565314685</v>
      </c>
      <c r="N83" s="176" t="n">
        <f aca="false">SUM(N75:N82)</f>
        <v>252242.565314685</v>
      </c>
      <c r="O83" s="176" t="n">
        <f aca="false">SUM(O75:O82)</f>
        <v>252242.565314685</v>
      </c>
      <c r="P83" s="176" t="n">
        <f aca="false">SUM(P75:P82)</f>
        <v>252242.565314685</v>
      </c>
      <c r="Q83" s="176" t="n">
        <f aca="false">SUM(Q75:Q82)</f>
        <v>252242.565314685</v>
      </c>
      <c r="R83" s="176" t="n">
        <f aca="false">SUM(R75:R82)</f>
        <v>252242.565314685</v>
      </c>
      <c r="S83" s="204"/>
    </row>
    <row r="84" customFormat="false" ht="12.75" hidden="false" customHeight="false" outlineLevel="0" collapsed="false">
      <c r="C84" s="16"/>
      <c r="D84" s="16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204"/>
    </row>
    <row r="85" customFormat="false" ht="15.75" hidden="true" customHeight="false" outlineLevel="1" collapsed="false">
      <c r="A85" s="517" t="s">
        <v>242</v>
      </c>
      <c r="B85" s="85"/>
      <c r="C85" s="518"/>
      <c r="D85" s="518"/>
      <c r="E85" s="519"/>
      <c r="F85" s="85"/>
      <c r="G85" s="520"/>
      <c r="H85" s="521"/>
      <c r="I85" s="521"/>
      <c r="J85" s="521"/>
      <c r="K85" s="521"/>
      <c r="L85" s="521"/>
      <c r="M85" s="521" t="n">
        <f aca="false">+J92+I92</f>
        <v>2.01</v>
      </c>
      <c r="N85" s="521"/>
      <c r="O85" s="521"/>
      <c r="P85" s="521"/>
      <c r="Q85" s="521"/>
      <c r="R85" s="521"/>
      <c r="S85" s="290"/>
    </row>
    <row r="86" customFormat="false" ht="12.75" hidden="true" customHeight="false" outlineLevel="1" collapsed="false">
      <c r="A86" s="386" t="s">
        <v>246</v>
      </c>
      <c r="C86" s="509"/>
      <c r="D86" s="509"/>
      <c r="E86" s="516"/>
      <c r="H86" s="90" t="n">
        <v>1.01</v>
      </c>
      <c r="I86" s="90" t="n">
        <v>1.01</v>
      </c>
      <c r="J86" s="90" t="n">
        <v>1.01</v>
      </c>
      <c r="K86" s="90" t="n">
        <v>1.01</v>
      </c>
      <c r="L86" s="90" t="n">
        <v>1.01</v>
      </c>
      <c r="M86" s="90" t="n">
        <v>1.01</v>
      </c>
      <c r="N86" s="90" t="n">
        <v>1.01</v>
      </c>
      <c r="O86" s="90" t="n">
        <v>1.01</v>
      </c>
      <c r="P86" s="90" t="n">
        <v>1.01</v>
      </c>
      <c r="Q86" s="90" t="n">
        <v>1.01</v>
      </c>
      <c r="R86" s="90" t="n">
        <v>1.01</v>
      </c>
      <c r="S86" s="204"/>
    </row>
    <row r="87" customFormat="false" ht="12.75" hidden="true" customHeight="false" outlineLevel="1" collapsed="false">
      <c r="A87" s="523" t="s">
        <v>247</v>
      </c>
      <c r="C87" s="509"/>
      <c r="D87" s="509"/>
      <c r="E87" s="516"/>
      <c r="G87" s="340"/>
      <c r="H87" s="90" t="n">
        <v>1.25</v>
      </c>
      <c r="I87" s="90" t="n">
        <v>1.25</v>
      </c>
      <c r="J87" s="90" t="n">
        <v>1.25</v>
      </c>
      <c r="K87" s="90" t="n">
        <v>1.15</v>
      </c>
      <c r="L87" s="90" t="n">
        <v>1.15</v>
      </c>
      <c r="M87" s="90" t="n">
        <v>1.05</v>
      </c>
      <c r="N87" s="90" t="n">
        <v>1.05</v>
      </c>
      <c r="O87" s="90" t="n">
        <v>0.95</v>
      </c>
      <c r="P87" s="90" t="n">
        <v>0.95</v>
      </c>
      <c r="Q87" s="90" t="n">
        <v>0.85</v>
      </c>
      <c r="R87" s="90" t="n">
        <v>0.85</v>
      </c>
      <c r="S87" s="204"/>
    </row>
    <row r="88" customFormat="false" ht="12.75" hidden="true" customHeight="false" outlineLevel="1" collapsed="false">
      <c r="A88" s="386" t="s">
        <v>248</v>
      </c>
      <c r="C88" s="509"/>
      <c r="D88" s="509"/>
      <c r="E88" s="516"/>
      <c r="G88" s="340"/>
      <c r="H88" s="90" t="n">
        <v>1.03</v>
      </c>
      <c r="I88" s="90" t="n">
        <v>1.03</v>
      </c>
      <c r="J88" s="90" t="n">
        <v>1.03</v>
      </c>
      <c r="K88" s="90" t="n">
        <v>1.03</v>
      </c>
      <c r="L88" s="90" t="n">
        <v>1.03</v>
      </c>
      <c r="M88" s="90" t="n">
        <v>1.03</v>
      </c>
      <c r="N88" s="90" t="n">
        <v>1.03</v>
      </c>
      <c r="O88" s="90" t="n">
        <v>1.03</v>
      </c>
      <c r="P88" s="90" t="n">
        <v>1.03</v>
      </c>
      <c r="Q88" s="90" t="n">
        <v>1.03</v>
      </c>
      <c r="R88" s="90" t="n">
        <v>1.03</v>
      </c>
      <c r="S88" s="204"/>
    </row>
    <row r="89" customFormat="false" ht="12.75" hidden="true" customHeight="false" outlineLevel="1" collapsed="false">
      <c r="A89" s="386" t="s">
        <v>249</v>
      </c>
      <c r="C89" s="509"/>
      <c r="D89" s="509"/>
      <c r="E89" s="516"/>
      <c r="G89" s="340"/>
      <c r="H89" s="90" t="n">
        <v>1.02</v>
      </c>
      <c r="I89" s="90" t="n">
        <v>1.02</v>
      </c>
      <c r="J89" s="90" t="n">
        <v>1.02</v>
      </c>
      <c r="K89" s="90" t="n">
        <v>1.02</v>
      </c>
      <c r="L89" s="90" t="n">
        <v>1.02</v>
      </c>
      <c r="M89" s="90" t="n">
        <v>1.02</v>
      </c>
      <c r="N89" s="90" t="n">
        <v>1.02</v>
      </c>
      <c r="O89" s="90" t="n">
        <v>1.02</v>
      </c>
      <c r="P89" s="90" t="n">
        <v>1.02</v>
      </c>
      <c r="Q89" s="90" t="n">
        <v>1.02</v>
      </c>
      <c r="R89" s="90" t="n">
        <v>1.02</v>
      </c>
      <c r="S89" s="204"/>
    </row>
    <row r="90" customFormat="false" ht="12.75" hidden="true" customHeight="false" outlineLevel="1" collapsed="false">
      <c r="A90" s="512" t="str">
        <f aca="false">A79</f>
        <v>Cost of Sales</v>
      </c>
      <c r="C90" s="509"/>
      <c r="D90" s="525"/>
      <c r="E90" s="70" t="n">
        <f aca="false">E79/D79</f>
        <v>1.32010881886194</v>
      </c>
      <c r="F90" s="70" t="n">
        <f aca="false">F79/E79</f>
        <v>2.7463506783445</v>
      </c>
      <c r="G90" s="70" t="n">
        <f aca="false">G79/F79</f>
        <v>0.855927963981991</v>
      </c>
      <c r="H90" s="70" t="n">
        <f aca="false">H79/G79</f>
        <v>2.43359146697838</v>
      </c>
      <c r="I90" s="90" t="n">
        <v>1</v>
      </c>
      <c r="J90" s="90" t="n">
        <f aca="false">+I90</f>
        <v>1</v>
      </c>
      <c r="K90" s="90" t="n">
        <f aca="false">+J90</f>
        <v>1</v>
      </c>
      <c r="L90" s="90" t="n">
        <f aca="false">+K90</f>
        <v>1</v>
      </c>
      <c r="M90" s="90" t="n">
        <f aca="false">+L90</f>
        <v>1</v>
      </c>
      <c r="N90" s="90" t="n">
        <v>1</v>
      </c>
      <c r="O90" s="90" t="n">
        <v>1</v>
      </c>
      <c r="P90" s="90" t="n">
        <v>1</v>
      </c>
      <c r="Q90" s="90" t="n">
        <v>1</v>
      </c>
      <c r="R90" s="90" t="n">
        <v>1</v>
      </c>
      <c r="S90" s="204"/>
    </row>
    <row r="91" customFormat="false" ht="12.75" hidden="true" customHeight="false" outlineLevel="1" collapsed="false">
      <c r="A91" s="386" t="s">
        <v>251</v>
      </c>
      <c r="C91" s="509"/>
      <c r="D91" s="509"/>
      <c r="E91" s="70"/>
      <c r="F91" s="70"/>
      <c r="G91" s="70"/>
      <c r="H91" s="100"/>
      <c r="I91" s="90" t="n">
        <v>1</v>
      </c>
      <c r="J91" s="90" t="n">
        <v>0.8</v>
      </c>
      <c r="K91" s="90" t="n">
        <v>0.8</v>
      </c>
      <c r="L91" s="90" t="n">
        <v>1</v>
      </c>
      <c r="M91" s="90" t="n">
        <f aca="false">L91</f>
        <v>1</v>
      </c>
      <c r="N91" s="90" t="n">
        <f aca="false">M91</f>
        <v>1</v>
      </c>
      <c r="O91" s="90" t="n">
        <f aca="false">N91</f>
        <v>1</v>
      </c>
      <c r="P91" s="90" t="n">
        <f aca="false">O91</f>
        <v>1</v>
      </c>
      <c r="Q91" s="90" t="n">
        <f aca="false">P91</f>
        <v>1</v>
      </c>
      <c r="R91" s="90" t="n">
        <f aca="false">Q91</f>
        <v>1</v>
      </c>
      <c r="S91" s="204"/>
    </row>
    <row r="92" customFormat="false" ht="12.75" hidden="true" customHeight="false" outlineLevel="1" collapsed="false">
      <c r="A92" s="386" t="s">
        <v>252</v>
      </c>
      <c r="C92" s="509"/>
      <c r="D92" s="522"/>
      <c r="E92" s="70" t="n">
        <f aca="false">E81/D81</f>
        <v>0.931995249147353</v>
      </c>
      <c r="F92" s="70" t="n">
        <f aca="false">F81/E81</f>
        <v>1.12103072534256</v>
      </c>
      <c r="G92" s="70" t="n">
        <f aca="false">G81/F81</f>
        <v>1.01426723958116</v>
      </c>
      <c r="H92" s="70" t="n">
        <f aca="false">H81/G81</f>
        <v>0.862326738781722</v>
      </c>
      <c r="I92" s="90" t="n">
        <v>1.01</v>
      </c>
      <c r="J92" s="90" t="n">
        <v>1</v>
      </c>
      <c r="K92" s="90" t="n">
        <v>1</v>
      </c>
      <c r="L92" s="90" t="n">
        <v>1</v>
      </c>
      <c r="M92" s="90" t="n">
        <f aca="false">L92</f>
        <v>1</v>
      </c>
      <c r="N92" s="90" t="n">
        <f aca="false">M92</f>
        <v>1</v>
      </c>
      <c r="O92" s="90" t="n">
        <f aca="false">N92</f>
        <v>1</v>
      </c>
      <c r="P92" s="90" t="n">
        <f aca="false">O92</f>
        <v>1</v>
      </c>
      <c r="Q92" s="90" t="n">
        <f aca="false">P92</f>
        <v>1</v>
      </c>
      <c r="R92" s="90" t="n">
        <f aca="false">Q92</f>
        <v>1</v>
      </c>
      <c r="S92" s="204"/>
    </row>
    <row r="93" customFormat="false" ht="12.75" hidden="true" customHeight="false" outlineLevel="1" collapsed="false">
      <c r="A93" s="524" t="s">
        <v>253</v>
      </c>
      <c r="C93" s="509"/>
      <c r="D93" s="522"/>
      <c r="E93" s="70" t="n">
        <f aca="false">E82/D82</f>
        <v>1.06538702710235</v>
      </c>
      <c r="F93" s="70" t="n">
        <f aca="false">F82/E82</f>
        <v>1.04077428636824</v>
      </c>
      <c r="G93" s="70" t="n">
        <f aca="false">G82/F82</f>
        <v>1.01083883129123</v>
      </c>
      <c r="H93" s="70" t="n">
        <f aca="false">H82/G82</f>
        <v>1.02526806526807</v>
      </c>
      <c r="I93" s="90" t="n">
        <f aca="false">H93</f>
        <v>1.02526806526807</v>
      </c>
      <c r="J93" s="90" t="n">
        <f aca="false">I93</f>
        <v>1.02526806526807</v>
      </c>
      <c r="K93" s="90" t="n">
        <v>1</v>
      </c>
      <c r="L93" s="90" t="n">
        <f aca="false">K93</f>
        <v>1</v>
      </c>
      <c r="M93" s="90" t="n">
        <f aca="false">L93</f>
        <v>1</v>
      </c>
      <c r="N93" s="90" t="n">
        <f aca="false">M93</f>
        <v>1</v>
      </c>
      <c r="O93" s="90" t="n">
        <f aca="false">N93</f>
        <v>1</v>
      </c>
      <c r="P93" s="90" t="n">
        <f aca="false">O93</f>
        <v>1</v>
      </c>
      <c r="Q93" s="90" t="n">
        <f aca="false">P93</f>
        <v>1</v>
      </c>
      <c r="R93" s="90" t="n">
        <f aca="false">Q93</f>
        <v>1</v>
      </c>
      <c r="S93" s="204"/>
    </row>
    <row r="94" customFormat="false" ht="12.75" hidden="true" customHeight="false" outlineLevel="1" collapsed="false">
      <c r="S94" s="204"/>
    </row>
    <row r="95" customFormat="false" ht="15.75" hidden="false" customHeight="false" outlineLevel="0" collapsed="false">
      <c r="A95" s="284" t="s">
        <v>255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204"/>
    </row>
    <row r="96" customFormat="false" ht="12.75" hidden="false" customHeight="true" outlineLevel="0" collapsed="false">
      <c r="A96" s="288"/>
      <c r="B96" s="204"/>
      <c r="C96" s="204"/>
      <c r="D96" s="204"/>
      <c r="E96" s="292"/>
      <c r="F96" s="292"/>
      <c r="G96" s="293"/>
      <c r="H96" s="294" t="s">
        <v>156</v>
      </c>
      <c r="I96" s="295"/>
      <c r="J96" s="293"/>
      <c r="K96" s="293"/>
      <c r="L96" s="296"/>
      <c r="M96" s="293"/>
      <c r="N96" s="296"/>
      <c r="O96" s="296"/>
      <c r="P96" s="296"/>
      <c r="Q96" s="296"/>
      <c r="R96" s="75"/>
      <c r="S96" s="204"/>
    </row>
    <row r="97" customFormat="false" ht="12.75" hidden="false" customHeight="true" outlineLevel="0" collapsed="false">
      <c r="A97" s="288"/>
      <c r="B97" s="204"/>
      <c r="C97" s="204"/>
      <c r="D97" s="452" t="n">
        <v>1997</v>
      </c>
      <c r="E97" s="297" t="n">
        <v>1998</v>
      </c>
      <c r="F97" s="297" t="n">
        <v>1999</v>
      </c>
      <c r="G97" s="297" t="n">
        <v>2000</v>
      </c>
      <c r="H97" s="297" t="n">
        <v>2001</v>
      </c>
      <c r="I97" s="298" t="n">
        <v>2002</v>
      </c>
      <c r="J97" s="298" t="n">
        <v>2003</v>
      </c>
      <c r="K97" s="298" t="n">
        <v>2004</v>
      </c>
      <c r="L97" s="298" t="n">
        <v>2005</v>
      </c>
      <c r="M97" s="298" t="n">
        <v>2006</v>
      </c>
      <c r="N97" s="299" t="n">
        <v>2007</v>
      </c>
      <c r="O97" s="299" t="n">
        <v>2008</v>
      </c>
      <c r="P97" s="299" t="n">
        <v>2009</v>
      </c>
      <c r="Q97" s="299" t="n">
        <v>2010</v>
      </c>
      <c r="R97" s="300" t="n">
        <v>2011</v>
      </c>
      <c r="S97" s="204"/>
    </row>
    <row r="98" customFormat="false" ht="12.75" hidden="false" customHeight="true" outlineLevel="0" collapsed="false">
      <c r="A98" s="288"/>
      <c r="B98" s="304" t="s">
        <v>159</v>
      </c>
      <c r="C98" s="204"/>
      <c r="D98" s="204"/>
      <c r="G98" s="526" t="s">
        <v>157</v>
      </c>
      <c r="H98" s="297" t="n">
        <v>1</v>
      </c>
      <c r="I98" s="298" t="n">
        <v>2</v>
      </c>
      <c r="J98" s="298" t="n">
        <v>3</v>
      </c>
      <c r="K98" s="298" t="n">
        <v>4</v>
      </c>
      <c r="L98" s="298" t="n">
        <v>5</v>
      </c>
      <c r="M98" s="298" t="n">
        <v>6</v>
      </c>
      <c r="N98" s="298" t="n">
        <v>7</v>
      </c>
      <c r="O98" s="298" t="n">
        <v>8</v>
      </c>
      <c r="P98" s="298" t="n">
        <v>9</v>
      </c>
      <c r="Q98" s="298" t="n">
        <v>10</v>
      </c>
      <c r="R98" s="302" t="n">
        <v>11</v>
      </c>
      <c r="S98" s="204"/>
    </row>
    <row r="99" customFormat="false" ht="12.75" hidden="false" customHeight="false" outlineLevel="0" collapsed="false">
      <c r="A99" s="386" t="s">
        <v>256</v>
      </c>
      <c r="B99" s="510" t="n">
        <v>0</v>
      </c>
      <c r="D99" s="511"/>
      <c r="E99" s="511"/>
      <c r="F99" s="511"/>
      <c r="G99" s="511"/>
      <c r="H99" s="158" t="n">
        <f aca="false">$B$99*555</f>
        <v>0</v>
      </c>
      <c r="I99" s="158" t="n">
        <f aca="false">$B$99*555</f>
        <v>0</v>
      </c>
      <c r="J99" s="158" t="n">
        <f aca="false">$B$99*355</f>
        <v>0</v>
      </c>
      <c r="K99" s="158" t="n">
        <f aca="false">J99*K110</f>
        <v>0</v>
      </c>
      <c r="L99" s="158" t="n">
        <f aca="false">K99*L110</f>
        <v>0</v>
      </c>
      <c r="M99" s="184" t="n">
        <f aca="false">L99*M110</f>
        <v>0</v>
      </c>
      <c r="N99" s="184" t="n">
        <f aca="false">M99*N110</f>
        <v>0</v>
      </c>
      <c r="O99" s="184" t="n">
        <f aca="false">N99*O110</f>
        <v>0</v>
      </c>
      <c r="P99" s="184" t="n">
        <f aca="false">O99*P110</f>
        <v>0</v>
      </c>
      <c r="Q99" s="184" t="n">
        <f aca="false">P99*Q110</f>
        <v>0</v>
      </c>
      <c r="R99" s="184" t="n">
        <f aca="false">Q99*R110</f>
        <v>0</v>
      </c>
      <c r="S99" s="204"/>
    </row>
    <row r="100" customFormat="false" ht="12.75" hidden="false" customHeight="false" outlineLevel="0" collapsed="false">
      <c r="A100" s="386" t="s">
        <v>257</v>
      </c>
      <c r="B100" s="510" t="n">
        <v>0</v>
      </c>
      <c r="D100" s="511"/>
      <c r="E100" s="511"/>
      <c r="F100" s="511"/>
      <c r="G100" s="511"/>
      <c r="H100" s="158" t="n">
        <f aca="false">$B$100*145</f>
        <v>0</v>
      </c>
      <c r="I100" s="158" t="n">
        <f aca="false">$B$100*145</f>
        <v>0</v>
      </c>
      <c r="J100" s="158" t="n">
        <f aca="false">$B$100*135</f>
        <v>0</v>
      </c>
      <c r="K100" s="158" t="n">
        <f aca="false">J100*K111</f>
        <v>0</v>
      </c>
      <c r="L100" s="158" t="n">
        <f aca="false">K100*L111</f>
        <v>0</v>
      </c>
      <c r="M100" s="184" t="n">
        <f aca="false">L100*M111</f>
        <v>0</v>
      </c>
      <c r="N100" s="184" t="n">
        <f aca="false">M100*N111</f>
        <v>0</v>
      </c>
      <c r="O100" s="184" t="n">
        <f aca="false">N100*O111</f>
        <v>0</v>
      </c>
      <c r="P100" s="184" t="n">
        <f aca="false">O100*P111</f>
        <v>0</v>
      </c>
      <c r="Q100" s="184" t="n">
        <f aca="false">P100*Q111</f>
        <v>0</v>
      </c>
      <c r="R100" s="184" t="n">
        <f aca="false">Q100*R111</f>
        <v>0</v>
      </c>
      <c r="S100" s="204"/>
    </row>
    <row r="101" customFormat="false" ht="12.75" hidden="false" customHeight="false" outlineLevel="0" collapsed="false">
      <c r="A101" s="386" t="s">
        <v>258</v>
      </c>
      <c r="B101" s="510" t="n">
        <v>1</v>
      </c>
      <c r="D101" s="511" t="n">
        <v>199898</v>
      </c>
      <c r="E101" s="511" t="n">
        <v>153521</v>
      </c>
      <c r="F101" s="527" t="n">
        <v>110028</v>
      </c>
      <c r="G101" s="527" t="n">
        <v>63063</v>
      </c>
      <c r="H101" s="157" t="n">
        <v>74300</v>
      </c>
      <c r="I101" s="158" t="n">
        <v>112100</v>
      </c>
      <c r="J101" s="158" t="n">
        <v>65000</v>
      </c>
      <c r="K101" s="158" t="n">
        <f aca="false">J101*K112</f>
        <v>65000</v>
      </c>
      <c r="L101" s="158" t="n">
        <f aca="false">K101*L112</f>
        <v>65000</v>
      </c>
      <c r="M101" s="158" t="n">
        <f aca="false">L101*M112</f>
        <v>65000</v>
      </c>
      <c r="N101" s="158" t="n">
        <f aca="false">M101*N112</f>
        <v>65000</v>
      </c>
      <c r="O101" s="158" t="n">
        <f aca="false">N101*O112</f>
        <v>65000</v>
      </c>
      <c r="P101" s="158" t="n">
        <f aca="false">O101*P112</f>
        <v>65000</v>
      </c>
      <c r="Q101" s="158" t="n">
        <f aca="false">P101*Q112</f>
        <v>65000</v>
      </c>
      <c r="R101" s="158" t="n">
        <f aca="false">Q101*R112</f>
        <v>65000</v>
      </c>
      <c r="S101" s="204"/>
    </row>
    <row r="102" customFormat="false" ht="12.75" hidden="false" customHeight="false" outlineLevel="0" collapsed="false">
      <c r="A102" s="386" t="s">
        <v>259</v>
      </c>
      <c r="B102" s="510" t="n">
        <v>1</v>
      </c>
      <c r="D102" s="511" t="n">
        <v>1391</v>
      </c>
      <c r="E102" s="511" t="n">
        <v>8467</v>
      </c>
      <c r="F102" s="527" t="n">
        <f aca="false">4348+1885</f>
        <v>6233</v>
      </c>
      <c r="G102" s="527" t="n">
        <f aca="false">5638+15</f>
        <v>5653</v>
      </c>
      <c r="H102" s="157" t="n">
        <v>19963</v>
      </c>
      <c r="I102" s="158" t="n">
        <v>0</v>
      </c>
      <c r="J102" s="158" t="n">
        <f aca="false">I102*J113</f>
        <v>0</v>
      </c>
      <c r="K102" s="158" t="n">
        <f aca="false">J102*K113</f>
        <v>0</v>
      </c>
      <c r="L102" s="158" t="n">
        <f aca="false">K102*L113</f>
        <v>0</v>
      </c>
      <c r="M102" s="158" t="n">
        <f aca="false">L102*M113</f>
        <v>0</v>
      </c>
      <c r="N102" s="158" t="n">
        <f aca="false">M102*N113</f>
        <v>0</v>
      </c>
      <c r="O102" s="158" t="n">
        <f aca="false">N102*O113</f>
        <v>0</v>
      </c>
      <c r="P102" s="158" t="n">
        <f aca="false">O102*P113</f>
        <v>0</v>
      </c>
      <c r="Q102" s="158" t="n">
        <f aca="false">P102*Q113</f>
        <v>0</v>
      </c>
      <c r="R102" s="158" t="n">
        <f aca="false">Q102*R113</f>
        <v>0</v>
      </c>
      <c r="S102" s="204"/>
    </row>
    <row r="103" customFormat="false" ht="12.75" hidden="false" customHeight="false" outlineLevel="0" collapsed="false">
      <c r="A103" s="437" t="s">
        <v>260</v>
      </c>
      <c r="B103" s="510" t="n">
        <v>0</v>
      </c>
      <c r="D103" s="511" t="n">
        <f aca="false">-17204*$B$103</f>
        <v>-0</v>
      </c>
      <c r="E103" s="511" t="n">
        <f aca="false">$B$103*56137</f>
        <v>0</v>
      </c>
      <c r="F103" s="527" t="n">
        <f aca="false">$B$103*91689</f>
        <v>0</v>
      </c>
      <c r="G103" s="527" t="n">
        <f aca="false">$B$103*113746</f>
        <v>0</v>
      </c>
      <c r="H103" s="157" t="n">
        <f aca="false">G103*H114</f>
        <v>0</v>
      </c>
      <c r="I103" s="158" t="n">
        <f aca="false">H103*I114</f>
        <v>0</v>
      </c>
      <c r="J103" s="158" t="n">
        <f aca="false">I103*J114</f>
        <v>0</v>
      </c>
      <c r="K103" s="158" t="n">
        <f aca="false">J103*K114</f>
        <v>0</v>
      </c>
      <c r="L103" s="158" t="n">
        <f aca="false">K103*L114</f>
        <v>0</v>
      </c>
      <c r="M103" s="158" t="n">
        <f aca="false">L103*M114</f>
        <v>0</v>
      </c>
      <c r="N103" s="158" t="n">
        <f aca="false">M103*N114</f>
        <v>0</v>
      </c>
      <c r="O103" s="158" t="n">
        <f aca="false">N103*O114</f>
        <v>0</v>
      </c>
      <c r="P103" s="158" t="n">
        <f aca="false">O103*P114</f>
        <v>0</v>
      </c>
      <c r="Q103" s="158" t="n">
        <f aca="false">P103*Q114</f>
        <v>0</v>
      </c>
      <c r="R103" s="158" t="n">
        <f aca="false">Q103*R114</f>
        <v>0</v>
      </c>
      <c r="S103" s="204"/>
    </row>
    <row r="104" customFormat="false" ht="12.75" hidden="false" customHeight="false" outlineLevel="0" collapsed="false">
      <c r="A104" s="386" t="s">
        <v>261</v>
      </c>
      <c r="B104" s="510" t="n">
        <v>1</v>
      </c>
      <c r="D104" s="511" t="n">
        <v>-3812</v>
      </c>
      <c r="E104" s="511" t="n">
        <v>-4931</v>
      </c>
      <c r="F104" s="511" t="n">
        <v>-4770</v>
      </c>
      <c r="G104" s="511" t="n">
        <v>-1579</v>
      </c>
      <c r="H104" s="157" t="n">
        <v>-5653</v>
      </c>
      <c r="I104" s="158" t="n">
        <v>-12600</v>
      </c>
      <c r="J104" s="158" t="n">
        <f aca="false">I104*J115</f>
        <v>-0</v>
      </c>
      <c r="K104" s="158" t="n">
        <f aca="false">J104*K115</f>
        <v>-0</v>
      </c>
      <c r="L104" s="158" t="n">
        <f aca="false">K104*L115</f>
        <v>-0</v>
      </c>
      <c r="M104" s="158" t="n">
        <f aca="false">L104*M115</f>
        <v>-0</v>
      </c>
      <c r="N104" s="158" t="n">
        <f aca="false">M104*N115</f>
        <v>-0</v>
      </c>
      <c r="O104" s="158" t="n">
        <f aca="false">N104*O115</f>
        <v>-0</v>
      </c>
      <c r="P104" s="158" t="n">
        <f aca="false">O104*P115</f>
        <v>-0</v>
      </c>
      <c r="Q104" s="158" t="n">
        <f aca="false">P104*Q115</f>
        <v>-0</v>
      </c>
      <c r="R104" s="158" t="n">
        <f aca="false">Q104*R115</f>
        <v>-0</v>
      </c>
      <c r="S104" s="204"/>
    </row>
    <row r="105" customFormat="false" ht="12.75" hidden="false" customHeight="false" outlineLevel="0" collapsed="false">
      <c r="A105" s="386" t="s">
        <v>239</v>
      </c>
      <c r="B105" s="510" t="n">
        <v>0</v>
      </c>
      <c r="D105" s="511"/>
      <c r="E105" s="511"/>
      <c r="F105" s="511"/>
      <c r="G105" s="511"/>
      <c r="H105" s="158" t="n">
        <f aca="false">$B$105*60</f>
        <v>0</v>
      </c>
      <c r="I105" s="158" t="n">
        <f aca="false">$B$105*5</f>
        <v>0</v>
      </c>
      <c r="J105" s="158" t="n">
        <f aca="false">$B$105*5</f>
        <v>0</v>
      </c>
      <c r="K105" s="158" t="n">
        <f aca="false">J105*K116</f>
        <v>0</v>
      </c>
      <c r="L105" s="158" t="n">
        <f aca="false">K105*L116</f>
        <v>0</v>
      </c>
      <c r="M105" s="184" t="n">
        <f aca="false">L105*M116</f>
        <v>0</v>
      </c>
      <c r="N105" s="184" t="n">
        <f aca="false">M105*N116</f>
        <v>0</v>
      </c>
      <c r="O105" s="184" t="n">
        <f aca="false">N105*O116</f>
        <v>0</v>
      </c>
      <c r="P105" s="184" t="n">
        <f aca="false">O105*P116</f>
        <v>0</v>
      </c>
      <c r="Q105" s="184" t="n">
        <f aca="false">P105*Q116</f>
        <v>0</v>
      </c>
      <c r="R105" s="184" t="n">
        <f aca="false">Q105*R116</f>
        <v>0</v>
      </c>
      <c r="S105" s="204"/>
    </row>
    <row r="106" customFormat="false" ht="12.75" hidden="false" customHeight="false" outlineLevel="0" collapsed="false">
      <c r="A106" s="524" t="s">
        <v>240</v>
      </c>
      <c r="B106" s="103" t="n">
        <v>0</v>
      </c>
      <c r="C106" s="75"/>
      <c r="D106" s="515"/>
      <c r="E106" s="515"/>
      <c r="F106" s="515"/>
      <c r="G106" s="515"/>
      <c r="H106" s="167" t="n">
        <v>1021</v>
      </c>
      <c r="I106" s="167" t="n">
        <f aca="false">$B$106*25</f>
        <v>0</v>
      </c>
      <c r="J106" s="167" t="n">
        <f aca="false">$B$106*5</f>
        <v>0</v>
      </c>
      <c r="K106" s="167" t="n">
        <f aca="false">J106*K117</f>
        <v>0</v>
      </c>
      <c r="L106" s="167" t="n">
        <f aca="false">K106*L117</f>
        <v>0</v>
      </c>
      <c r="M106" s="193" t="n">
        <f aca="false">L106*M117</f>
        <v>0</v>
      </c>
      <c r="N106" s="193" t="n">
        <f aca="false">M106*N117</f>
        <v>0</v>
      </c>
      <c r="O106" s="193" t="n">
        <f aca="false">N106*O117</f>
        <v>0</v>
      </c>
      <c r="P106" s="193" t="n">
        <f aca="false">O106*P117</f>
        <v>0</v>
      </c>
      <c r="Q106" s="193" t="n">
        <f aca="false">P106*Q117</f>
        <v>0</v>
      </c>
      <c r="R106" s="193" t="n">
        <f aca="false">Q106*R117</f>
        <v>0</v>
      </c>
      <c r="S106" s="204"/>
    </row>
    <row r="107" customFormat="false" ht="12.75" hidden="false" customHeight="false" outlineLevel="0" collapsed="false">
      <c r="A107" s="528" t="s">
        <v>262</v>
      </c>
      <c r="D107" s="457" t="n">
        <f aca="false">SUM(D99:D106)</f>
        <v>197477</v>
      </c>
      <c r="E107" s="457" t="n">
        <f aca="false">SUM(E99:E106)</f>
        <v>157057</v>
      </c>
      <c r="F107" s="457" t="n">
        <f aca="false">SUM(F99:F106)</f>
        <v>111491</v>
      </c>
      <c r="G107" s="457" t="n">
        <f aca="false">SUM(G99:G106)</f>
        <v>67137</v>
      </c>
      <c r="H107" s="176" t="n">
        <f aca="false">SUM(H99:H106)</f>
        <v>89631</v>
      </c>
      <c r="I107" s="176" t="n">
        <f aca="false">SUM(I99:I106)</f>
        <v>99500</v>
      </c>
      <c r="J107" s="176" t="n">
        <f aca="false">SUM(J99:J106)</f>
        <v>65000</v>
      </c>
      <c r="K107" s="176" t="n">
        <f aca="false">SUM(K99:K106)</f>
        <v>65000</v>
      </c>
      <c r="L107" s="176" t="n">
        <f aca="false">SUM(L99:L106)</f>
        <v>65000</v>
      </c>
      <c r="M107" s="176" t="n">
        <f aca="false">SUM(M99:M106)</f>
        <v>65000</v>
      </c>
      <c r="N107" s="176" t="n">
        <f aca="false">SUM(N99:N106)</f>
        <v>65000</v>
      </c>
      <c r="O107" s="176" t="n">
        <f aca="false">SUM(O99:O106)</f>
        <v>65000</v>
      </c>
      <c r="P107" s="176" t="n">
        <f aca="false">SUM(P99:P106)</f>
        <v>65000</v>
      </c>
      <c r="Q107" s="176" t="n">
        <f aca="false">SUM(Q99:Q106)</f>
        <v>65000</v>
      </c>
      <c r="R107" s="176" t="n">
        <f aca="false">SUM(R99:R106)</f>
        <v>65000</v>
      </c>
      <c r="S107" s="204"/>
    </row>
    <row r="108" customFormat="false" ht="12.75" hidden="false" customHeight="false" outlineLevel="0" collapsed="false">
      <c r="A108" s="528"/>
      <c r="E108" s="529"/>
      <c r="F108" s="529"/>
      <c r="G108" s="529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204"/>
    </row>
    <row r="109" customFormat="false" ht="15.75" hidden="true" customHeight="false" outlineLevel="1" collapsed="false">
      <c r="A109" s="517" t="s">
        <v>242</v>
      </c>
      <c r="B109" s="85"/>
      <c r="C109" s="518"/>
      <c r="D109" s="518"/>
      <c r="E109" s="519"/>
      <c r="F109" s="85"/>
      <c r="G109" s="520"/>
      <c r="H109" s="521"/>
      <c r="I109" s="521"/>
      <c r="J109" s="521"/>
      <c r="K109" s="521"/>
      <c r="L109" s="521"/>
      <c r="M109" s="521"/>
      <c r="N109" s="521"/>
      <c r="O109" s="521"/>
      <c r="P109" s="521"/>
      <c r="Q109" s="521"/>
      <c r="R109" s="521"/>
      <c r="S109" s="290"/>
    </row>
    <row r="110" customFormat="false" ht="12.75" hidden="true" customHeight="false" outlineLevel="1" collapsed="false">
      <c r="A110" s="386" t="s">
        <v>256</v>
      </c>
      <c r="C110" s="509"/>
      <c r="D110" s="509"/>
      <c r="E110" s="516"/>
      <c r="G110" s="340"/>
      <c r="H110" s="90" t="n">
        <v>1.01</v>
      </c>
      <c r="I110" s="90" t="n">
        <v>1.01</v>
      </c>
      <c r="J110" s="90" t="n">
        <v>1.01</v>
      </c>
      <c r="K110" s="90" t="n">
        <v>1.01</v>
      </c>
      <c r="L110" s="90" t="n">
        <v>1.01</v>
      </c>
      <c r="M110" s="90" t="n">
        <v>1.01</v>
      </c>
      <c r="N110" s="90" t="n">
        <v>1.01</v>
      </c>
      <c r="O110" s="90" t="n">
        <v>1.01</v>
      </c>
      <c r="P110" s="90" t="n">
        <v>1.01</v>
      </c>
      <c r="Q110" s="90" t="n">
        <v>1.01</v>
      </c>
      <c r="R110" s="90" t="n">
        <v>1.01</v>
      </c>
      <c r="S110" s="204"/>
    </row>
    <row r="111" customFormat="false" ht="12.75" hidden="true" customHeight="false" outlineLevel="1" collapsed="false">
      <c r="A111" s="386" t="s">
        <v>257</v>
      </c>
      <c r="C111" s="509"/>
      <c r="D111" s="509"/>
      <c r="E111" s="516"/>
      <c r="G111" s="340"/>
      <c r="H111" s="90" t="n">
        <v>1.02</v>
      </c>
      <c r="I111" s="90" t="n">
        <v>1.02</v>
      </c>
      <c r="J111" s="90" t="n">
        <v>1.02</v>
      </c>
      <c r="K111" s="90" t="n">
        <v>1.02</v>
      </c>
      <c r="L111" s="90" t="n">
        <v>1.02</v>
      </c>
      <c r="M111" s="90" t="n">
        <v>1.02</v>
      </c>
      <c r="N111" s="90" t="n">
        <v>1.02</v>
      </c>
      <c r="O111" s="90" t="n">
        <v>1.02</v>
      </c>
      <c r="P111" s="90" t="n">
        <v>1.02</v>
      </c>
      <c r="Q111" s="90" t="n">
        <v>1.02</v>
      </c>
      <c r="R111" s="90" t="n">
        <v>1.02</v>
      </c>
      <c r="S111" s="204"/>
    </row>
    <row r="112" customFormat="false" ht="12.75" hidden="true" customHeight="false" outlineLevel="1" collapsed="false">
      <c r="A112" s="437" t="s">
        <v>258</v>
      </c>
      <c r="C112" s="509"/>
      <c r="D112" s="509"/>
      <c r="E112" s="70" t="n">
        <f aca="false">E101/D101</f>
        <v>0.767996678305936</v>
      </c>
      <c r="F112" s="70" t="n">
        <f aca="false">F101/E101</f>
        <v>0.71669673855694</v>
      </c>
      <c r="G112" s="70" t="n">
        <f aca="false">G101/F101</f>
        <v>0.573154106227506</v>
      </c>
      <c r="H112" s="70" t="n">
        <f aca="false">H101/G101</f>
        <v>1.17818689247261</v>
      </c>
      <c r="I112" s="90" t="n">
        <f aca="false">AVERAGE(E112:H112)</f>
        <v>0.809008603890747</v>
      </c>
      <c r="J112" s="90" t="n">
        <v>0.58</v>
      </c>
      <c r="K112" s="90" t="n">
        <v>1</v>
      </c>
      <c r="L112" s="90" t="n">
        <v>1</v>
      </c>
      <c r="M112" s="90" t="n">
        <v>1</v>
      </c>
      <c r="N112" s="90" t="n">
        <f aca="false">M112</f>
        <v>1</v>
      </c>
      <c r="O112" s="90" t="n">
        <f aca="false">N112</f>
        <v>1</v>
      </c>
      <c r="P112" s="90" t="n">
        <f aca="false">O112</f>
        <v>1</v>
      </c>
      <c r="Q112" s="90" t="n">
        <f aca="false">P112</f>
        <v>1</v>
      </c>
      <c r="R112" s="90" t="n">
        <f aca="false">Q112</f>
        <v>1</v>
      </c>
      <c r="S112" s="204"/>
    </row>
    <row r="113" customFormat="false" ht="12.75" hidden="true" customHeight="false" outlineLevel="1" collapsed="false">
      <c r="A113" s="386" t="s">
        <v>259</v>
      </c>
      <c r="C113" s="509"/>
      <c r="D113" s="509"/>
      <c r="E113" s="70" t="n">
        <f aca="false">E102/D102</f>
        <v>6.08698777857656</v>
      </c>
      <c r="F113" s="70" t="n">
        <f aca="false">F102/E102</f>
        <v>0.736152119995276</v>
      </c>
      <c r="G113" s="70" t="n">
        <f aca="false">G102/F102</f>
        <v>0.906946895555912</v>
      </c>
      <c r="H113" s="70" t="n">
        <f aca="false">H102/G102</f>
        <v>3.53139925703167</v>
      </c>
      <c r="I113" s="90" t="n">
        <v>0.5</v>
      </c>
      <c r="J113" s="90" t="n">
        <v>1</v>
      </c>
      <c r="K113" s="90" t="n">
        <f aca="false">J113</f>
        <v>1</v>
      </c>
      <c r="L113" s="90" t="n">
        <f aca="false">K113</f>
        <v>1</v>
      </c>
      <c r="M113" s="90" t="n">
        <f aca="false">L113</f>
        <v>1</v>
      </c>
      <c r="N113" s="90" t="n">
        <f aca="false">M113</f>
        <v>1</v>
      </c>
      <c r="O113" s="90" t="n">
        <f aca="false">N113</f>
        <v>1</v>
      </c>
      <c r="P113" s="90" t="n">
        <f aca="false">O113</f>
        <v>1</v>
      </c>
      <c r="Q113" s="90" t="n">
        <f aca="false">P113</f>
        <v>1</v>
      </c>
      <c r="R113" s="90" t="n">
        <f aca="false">Q113</f>
        <v>1</v>
      </c>
      <c r="S113" s="204"/>
    </row>
    <row r="114" customFormat="false" ht="12.75" hidden="true" customHeight="false" outlineLevel="1" collapsed="false">
      <c r="A114" s="386" t="s">
        <v>260</v>
      </c>
      <c r="C114" s="509"/>
      <c r="D114" s="509"/>
      <c r="E114" s="70"/>
      <c r="F114" s="70"/>
      <c r="G114" s="70"/>
      <c r="H114" s="90" t="n">
        <v>0</v>
      </c>
      <c r="I114" s="90" t="n">
        <v>0</v>
      </c>
      <c r="J114" s="90" t="n">
        <v>0</v>
      </c>
      <c r="K114" s="90" t="n">
        <v>0</v>
      </c>
      <c r="L114" s="90" t="n">
        <v>0</v>
      </c>
      <c r="M114" s="90" t="n">
        <v>0</v>
      </c>
      <c r="N114" s="90" t="n">
        <v>0</v>
      </c>
      <c r="O114" s="90" t="n">
        <v>0</v>
      </c>
      <c r="P114" s="90" t="n">
        <v>0</v>
      </c>
      <c r="Q114" s="90" t="n">
        <v>0</v>
      </c>
      <c r="R114" s="90" t="n">
        <v>0</v>
      </c>
      <c r="S114" s="204"/>
    </row>
    <row r="115" customFormat="false" ht="12.75" hidden="true" customHeight="false" outlineLevel="1" collapsed="false">
      <c r="A115" s="386" t="s">
        <v>261</v>
      </c>
      <c r="C115" s="509"/>
      <c r="D115" s="509"/>
      <c r="E115" s="70" t="n">
        <f aca="false">E104/D104</f>
        <v>1.29354669464848</v>
      </c>
      <c r="F115" s="70" t="n">
        <f aca="false">F104/E104</f>
        <v>0.96734942202393</v>
      </c>
      <c r="G115" s="70" t="n">
        <f aca="false">G104/F104</f>
        <v>0.331027253668763</v>
      </c>
      <c r="H115" s="70" t="n">
        <f aca="false">H104/G104</f>
        <v>3.58011399620013</v>
      </c>
      <c r="I115" s="90" t="n">
        <v>0.8</v>
      </c>
      <c r="J115" s="90" t="n">
        <v>0</v>
      </c>
      <c r="K115" s="90" t="n">
        <v>0.3</v>
      </c>
      <c r="L115" s="90" t="n">
        <f aca="false">K115</f>
        <v>0.3</v>
      </c>
      <c r="M115" s="90" t="n">
        <f aca="false">L115</f>
        <v>0.3</v>
      </c>
      <c r="N115" s="90" t="n">
        <f aca="false">M115</f>
        <v>0.3</v>
      </c>
      <c r="O115" s="90" t="n">
        <f aca="false">N115</f>
        <v>0.3</v>
      </c>
      <c r="P115" s="90" t="n">
        <f aca="false">O115</f>
        <v>0.3</v>
      </c>
      <c r="Q115" s="90" t="n">
        <f aca="false">P115</f>
        <v>0.3</v>
      </c>
      <c r="R115" s="90" t="n">
        <f aca="false">Q115</f>
        <v>0.3</v>
      </c>
      <c r="S115" s="204"/>
    </row>
    <row r="116" customFormat="false" ht="12.75" hidden="true" customHeight="false" outlineLevel="1" collapsed="false">
      <c r="A116" s="386" t="s">
        <v>239</v>
      </c>
      <c r="C116" s="509"/>
      <c r="D116" s="509"/>
      <c r="E116" s="516"/>
      <c r="G116" s="340"/>
      <c r="H116" s="90" t="n">
        <v>1.01</v>
      </c>
      <c r="I116" s="90" t="n">
        <v>1.01</v>
      </c>
      <c r="J116" s="90" t="n">
        <v>1.01</v>
      </c>
      <c r="K116" s="90" t="n">
        <v>1.01</v>
      </c>
      <c r="L116" s="90" t="n">
        <v>1.01</v>
      </c>
      <c r="M116" s="90" t="n">
        <v>1.01</v>
      </c>
      <c r="N116" s="90" t="n">
        <v>1.01</v>
      </c>
      <c r="O116" s="90" t="n">
        <v>1.01</v>
      </c>
      <c r="P116" s="90" t="n">
        <v>1.01</v>
      </c>
      <c r="Q116" s="90" t="n">
        <v>1.01</v>
      </c>
      <c r="R116" s="90" t="n">
        <v>1.01</v>
      </c>
      <c r="S116" s="204"/>
    </row>
    <row r="117" customFormat="false" ht="12.75" hidden="true" customHeight="false" outlineLevel="1" collapsed="false">
      <c r="A117" s="25" t="s">
        <v>240</v>
      </c>
      <c r="C117" s="509"/>
      <c r="D117" s="509"/>
      <c r="E117" s="516"/>
      <c r="G117" s="340"/>
      <c r="H117" s="90" t="n">
        <v>1.01</v>
      </c>
      <c r="I117" s="90" t="n">
        <v>1.01</v>
      </c>
      <c r="J117" s="90" t="n">
        <v>1.01</v>
      </c>
      <c r="K117" s="90" t="n">
        <v>1.01</v>
      </c>
      <c r="L117" s="90" t="n">
        <v>1.01</v>
      </c>
      <c r="M117" s="90" t="n">
        <v>1.01</v>
      </c>
      <c r="N117" s="90" t="n">
        <v>1.01</v>
      </c>
      <c r="O117" s="90" t="n">
        <v>1.01</v>
      </c>
      <c r="P117" s="90" t="n">
        <v>1.01</v>
      </c>
      <c r="Q117" s="90" t="n">
        <v>1.01</v>
      </c>
      <c r="R117" s="90" t="n">
        <v>1.01</v>
      </c>
      <c r="S117" s="204"/>
    </row>
    <row r="118" customFormat="false" ht="12.75" hidden="true" customHeight="false" outlineLevel="1" collapsed="false">
      <c r="A118" s="528"/>
      <c r="E118" s="529"/>
      <c r="F118" s="529"/>
      <c r="G118" s="529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204"/>
    </row>
    <row r="119" customFormat="false" ht="12.75" hidden="true" customHeight="false" outlineLevel="1" collapsed="false">
      <c r="A119" s="308"/>
      <c r="S119" s="204"/>
    </row>
    <row r="120" customFormat="false" ht="12.75" hidden="false" customHeight="false" outlineLevel="0" collapsed="false">
      <c r="A120" s="308"/>
      <c r="S120" s="204"/>
    </row>
    <row r="121" customFormat="false" ht="15.75" hidden="false" customHeight="false" outlineLevel="0" collapsed="false">
      <c r="A121" s="284" t="s">
        <v>263</v>
      </c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204"/>
    </row>
    <row r="122" customFormat="false" ht="12.75" hidden="false" customHeight="false" outlineLevel="0" collapsed="false">
      <c r="E122" s="292"/>
      <c r="F122" s="292"/>
      <c r="G122" s="293"/>
      <c r="H122" s="294" t="s">
        <v>156</v>
      </c>
      <c r="I122" s="295"/>
      <c r="J122" s="293"/>
      <c r="K122" s="293"/>
      <c r="L122" s="296"/>
      <c r="M122" s="293"/>
      <c r="N122" s="296"/>
      <c r="O122" s="296"/>
      <c r="P122" s="296"/>
      <c r="Q122" s="296"/>
      <c r="R122" s="75"/>
    </row>
    <row r="123" customFormat="false" ht="12.75" hidden="false" customHeight="false" outlineLevel="0" collapsed="false">
      <c r="D123" s="452" t="n">
        <v>1997</v>
      </c>
      <c r="E123" s="297" t="n">
        <v>1998</v>
      </c>
      <c r="F123" s="297" t="n">
        <v>1999</v>
      </c>
      <c r="G123" s="297" t="n">
        <v>2000</v>
      </c>
      <c r="H123" s="297" t="n">
        <v>2001</v>
      </c>
      <c r="I123" s="298" t="n">
        <v>2002</v>
      </c>
      <c r="J123" s="298" t="n">
        <v>2003</v>
      </c>
      <c r="K123" s="298" t="n">
        <v>2004</v>
      </c>
      <c r="L123" s="298" t="n">
        <v>2005</v>
      </c>
      <c r="M123" s="298" t="n">
        <v>2006</v>
      </c>
      <c r="N123" s="299" t="n">
        <v>2007</v>
      </c>
      <c r="O123" s="299" t="n">
        <v>2008</v>
      </c>
      <c r="P123" s="299" t="n">
        <v>2009</v>
      </c>
      <c r="Q123" s="299" t="n">
        <v>2010</v>
      </c>
      <c r="R123" s="300" t="n">
        <v>2011</v>
      </c>
    </row>
    <row r="124" customFormat="false" ht="12.75" hidden="false" customHeight="false" outlineLevel="0" collapsed="false">
      <c r="G124" s="526" t="s">
        <v>157</v>
      </c>
      <c r="H124" s="297" t="n">
        <v>1</v>
      </c>
      <c r="I124" s="298" t="n">
        <v>2</v>
      </c>
      <c r="J124" s="298" t="n">
        <v>3</v>
      </c>
      <c r="K124" s="298" t="n">
        <v>4</v>
      </c>
      <c r="L124" s="298" t="n">
        <v>5</v>
      </c>
      <c r="M124" s="298" t="n">
        <v>6</v>
      </c>
      <c r="N124" s="298" t="n">
        <v>7</v>
      </c>
      <c r="O124" s="298" t="n">
        <v>8</v>
      </c>
      <c r="P124" s="298" t="n">
        <v>9</v>
      </c>
      <c r="Q124" s="298" t="n">
        <v>10</v>
      </c>
      <c r="R124" s="302" t="n">
        <v>11</v>
      </c>
    </row>
    <row r="125" customFormat="false" ht="12.75" hidden="false" customHeight="false" outlineLevel="0" collapsed="false">
      <c r="A125" s="475" t="s">
        <v>264</v>
      </c>
      <c r="B125" s="146"/>
      <c r="C125" s="487" t="n">
        <v>2743866</v>
      </c>
      <c r="D125" s="310"/>
      <c r="E125" s="470"/>
      <c r="F125" s="470"/>
      <c r="G125" s="310"/>
      <c r="H125" s="530" t="n">
        <f aca="false">Assumptions!G22</f>
        <v>0.0225</v>
      </c>
      <c r="I125" s="531" t="n">
        <f aca="false">H125</f>
        <v>0.0225</v>
      </c>
      <c r="J125" s="531" t="n">
        <f aca="false">I125</f>
        <v>0.0225</v>
      </c>
      <c r="K125" s="531" t="n">
        <f aca="false">J125</f>
        <v>0.0225</v>
      </c>
      <c r="L125" s="531" t="n">
        <f aca="false">K125</f>
        <v>0.0225</v>
      </c>
      <c r="M125" s="531" t="n">
        <f aca="false">L125</f>
        <v>0.0225</v>
      </c>
      <c r="N125" s="531" t="n">
        <f aca="false">M125</f>
        <v>0.0225</v>
      </c>
      <c r="O125" s="531" t="n">
        <f aca="false">N125</f>
        <v>0.0225</v>
      </c>
      <c r="P125" s="531" t="n">
        <f aca="false">O125</f>
        <v>0.0225</v>
      </c>
      <c r="Q125" s="531" t="n">
        <f aca="false">P125</f>
        <v>0.0225</v>
      </c>
      <c r="R125" s="532" t="n">
        <f aca="false">Q125</f>
        <v>0.0225</v>
      </c>
      <c r="S125" s="532" t="n">
        <f aca="false">R125</f>
        <v>0.0225</v>
      </c>
    </row>
    <row r="126" customFormat="false" ht="12.75" hidden="false" customHeight="false" outlineLevel="0" collapsed="false">
      <c r="A126" s="187" t="s">
        <v>265</v>
      </c>
      <c r="C126" s="533"/>
      <c r="D126" s="534"/>
      <c r="E126" s="470"/>
      <c r="F126" s="470"/>
      <c r="G126" s="310"/>
      <c r="H126" s="192"/>
      <c r="I126" s="192" t="n">
        <f aca="false">+H128</f>
        <v>47577</v>
      </c>
      <c r="J126" s="192" t="n">
        <f aca="false">+I126</f>
        <v>47577</v>
      </c>
      <c r="K126" s="192" t="n">
        <f aca="false">+J126</f>
        <v>47577</v>
      </c>
      <c r="L126" s="192" t="n">
        <f aca="false">+K126</f>
        <v>47577</v>
      </c>
      <c r="M126" s="192" t="n">
        <f aca="false">+L126</f>
        <v>47577</v>
      </c>
      <c r="N126" s="192" t="n">
        <f aca="false">+M126</f>
        <v>47577</v>
      </c>
      <c r="O126" s="192" t="n">
        <f aca="false">+N126</f>
        <v>47577</v>
      </c>
      <c r="P126" s="192" t="n">
        <f aca="false">+O126</f>
        <v>47577</v>
      </c>
      <c r="Q126" s="192" t="n">
        <f aca="false">+P126</f>
        <v>47577</v>
      </c>
      <c r="R126" s="192" t="n">
        <f aca="false">+Q126</f>
        <v>47577</v>
      </c>
      <c r="S126" s="192" t="n">
        <f aca="false">+R126</f>
        <v>47577</v>
      </c>
    </row>
    <row r="127" customFormat="false" ht="12.75" hidden="false" customHeight="false" outlineLevel="0" collapsed="false">
      <c r="A127" s="187" t="s">
        <v>266</v>
      </c>
      <c r="D127" s="305"/>
      <c r="E127" s="535"/>
      <c r="F127" s="535"/>
      <c r="G127" s="317"/>
      <c r="H127" s="195"/>
      <c r="I127" s="195" t="n">
        <f aca="false">I149</f>
        <v>3527.28</v>
      </c>
      <c r="J127" s="195" t="n">
        <f aca="false">J149</f>
        <v>5766.03</v>
      </c>
      <c r="K127" s="195" t="n">
        <f aca="false">K149</f>
        <v>7228.53</v>
      </c>
      <c r="L127" s="195" t="n">
        <f aca="false">L149</f>
        <v>8691.03</v>
      </c>
      <c r="M127" s="195" t="n">
        <f aca="false">M149</f>
        <v>10153.53</v>
      </c>
      <c r="N127" s="195" t="n">
        <f aca="false">N149</f>
        <v>11616.03</v>
      </c>
      <c r="O127" s="195" t="n">
        <f aca="false">O149</f>
        <v>13078.53</v>
      </c>
      <c r="P127" s="195" t="n">
        <f aca="false">P149</f>
        <v>14541.03</v>
      </c>
      <c r="Q127" s="195" t="n">
        <f aca="false">Q149</f>
        <v>16003.53</v>
      </c>
      <c r="R127" s="195" t="n">
        <f aca="false">R149</f>
        <v>17466.03</v>
      </c>
      <c r="S127" s="192"/>
    </row>
    <row r="128" customFormat="false" ht="12.75" hidden="false" customHeight="false" outlineLevel="0" collapsed="false">
      <c r="A128" s="528" t="s">
        <v>267</v>
      </c>
      <c r="D128" s="536" t="n">
        <f aca="false">D21</f>
        <v>88563</v>
      </c>
      <c r="E128" s="536" t="n">
        <f aca="false">E21</f>
        <v>81343</v>
      </c>
      <c r="F128" s="536" t="n">
        <f aca="false">F21</f>
        <v>40395</v>
      </c>
      <c r="G128" s="536" t="n">
        <f aca="false">G21</f>
        <v>50691</v>
      </c>
      <c r="H128" s="529" t="n">
        <v>47577</v>
      </c>
      <c r="I128" s="176" t="n">
        <f aca="false">SUM(I126:I127)</f>
        <v>51104.28</v>
      </c>
      <c r="J128" s="176" t="n">
        <f aca="false">SUM(J126:J127)</f>
        <v>53343.03</v>
      </c>
      <c r="K128" s="176" t="n">
        <f aca="false">SUM(K126:K127)</f>
        <v>54805.53</v>
      </c>
      <c r="L128" s="176" t="n">
        <f aca="false">SUM(L126:L127)</f>
        <v>56268.03</v>
      </c>
      <c r="M128" s="176" t="n">
        <f aca="false">SUM(M126:M127)</f>
        <v>57730.53</v>
      </c>
      <c r="N128" s="176" t="n">
        <f aca="false">SUM(N126:N127)</f>
        <v>59193.03</v>
      </c>
      <c r="O128" s="176" t="n">
        <f aca="false">SUM(O126:O127)</f>
        <v>60655.53</v>
      </c>
      <c r="P128" s="176" t="n">
        <f aca="false">SUM(P126:P127)</f>
        <v>62118.03</v>
      </c>
      <c r="Q128" s="176" t="n">
        <f aca="false">SUM(Q126:Q127)</f>
        <v>63580.53</v>
      </c>
      <c r="R128" s="176" t="n">
        <f aca="false">SUM(R126:R127)</f>
        <v>65043.03</v>
      </c>
      <c r="S128" s="176"/>
      <c r="T128" s="16"/>
    </row>
    <row r="129" customFormat="false" ht="12.75" hidden="false" customHeight="false" outlineLevel="0" collapsed="false">
      <c r="A129" s="187"/>
      <c r="D129" s="305"/>
      <c r="E129" s="470"/>
      <c r="F129" s="470"/>
      <c r="G129" s="310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6"/>
      <c r="T129" s="16"/>
    </row>
    <row r="130" customFormat="false" ht="12.75" hidden="false" customHeight="false" outlineLevel="0" collapsed="false">
      <c r="A130" s="348" t="s">
        <v>268</v>
      </c>
      <c r="D130" s="305"/>
      <c r="E130" s="470"/>
      <c r="F130" s="470"/>
      <c r="G130" s="310"/>
      <c r="H130" s="537" t="n">
        <v>0.05</v>
      </c>
      <c r="I130" s="538" t="n">
        <v>0.05</v>
      </c>
      <c r="J130" s="538" t="n">
        <v>0.04</v>
      </c>
      <c r="K130" s="538" t="n">
        <f aca="false">J130</f>
        <v>0.04</v>
      </c>
      <c r="L130" s="538" t="n">
        <v>0.03</v>
      </c>
      <c r="M130" s="538" t="n">
        <f aca="false">L130</f>
        <v>0.03</v>
      </c>
      <c r="N130" s="538" t="n">
        <f aca="false">M130</f>
        <v>0.03</v>
      </c>
      <c r="O130" s="538" t="n">
        <f aca="false">N130</f>
        <v>0.03</v>
      </c>
      <c r="P130" s="538" t="n">
        <v>0.02</v>
      </c>
      <c r="Q130" s="538" t="n">
        <f aca="false">P130</f>
        <v>0.02</v>
      </c>
      <c r="R130" s="538" t="n">
        <f aca="false">Q130</f>
        <v>0.02</v>
      </c>
      <c r="S130" s="539"/>
      <c r="T130" s="232"/>
    </row>
    <row r="131" customFormat="false" ht="12.75" hidden="false" customHeight="false" outlineLevel="0" collapsed="false">
      <c r="D131" s="305"/>
      <c r="E131" s="470"/>
      <c r="F131" s="470"/>
      <c r="G131" s="310"/>
      <c r="H131" s="537" t="n">
        <v>0.05</v>
      </c>
      <c r="I131" s="538" t="n">
        <v>0.095</v>
      </c>
      <c r="J131" s="538" t="n">
        <v>0.0855</v>
      </c>
      <c r="K131" s="538" t="n">
        <v>0.077</v>
      </c>
      <c r="L131" s="538" t="n">
        <v>0.0693</v>
      </c>
      <c r="M131" s="538" t="n">
        <v>0.0623</v>
      </c>
      <c r="N131" s="538" t="n">
        <v>0.059</v>
      </c>
      <c r="O131" s="538" t="n">
        <v>0.059</v>
      </c>
      <c r="P131" s="538" t="n">
        <v>0.0591</v>
      </c>
      <c r="Q131" s="538" t="n">
        <v>0.059</v>
      </c>
      <c r="R131" s="538" t="n">
        <v>0.0591</v>
      </c>
      <c r="S131" s="531" t="n">
        <v>0.059</v>
      </c>
      <c r="T131" s="531" t="n">
        <v>0.0591</v>
      </c>
      <c r="U131" s="531" t="n">
        <v>0.059</v>
      </c>
      <c r="V131" s="531" t="n">
        <v>0.0591</v>
      </c>
      <c r="W131" s="531" t="n">
        <v>0.059</v>
      </c>
      <c r="X131" s="531" t="n">
        <v>0.0591</v>
      </c>
      <c r="Y131" s="540" t="n">
        <v>0.0295</v>
      </c>
    </row>
    <row r="132" customFormat="false" ht="12.75" hidden="false" customHeight="false" outlineLevel="0" collapsed="false">
      <c r="A132" s="187" t="s">
        <v>265</v>
      </c>
      <c r="B132" s="541"/>
      <c r="D132" s="305"/>
      <c r="E132" s="470"/>
      <c r="F132" s="470"/>
      <c r="G132" s="310"/>
      <c r="H132" s="187" t="n">
        <f aca="false">H130*$C$125</f>
        <v>137193.3</v>
      </c>
      <c r="I132" s="187" t="n">
        <f aca="false">I130*$C$125</f>
        <v>137193.3</v>
      </c>
      <c r="J132" s="187" t="n">
        <f aca="false">J130*$C$125</f>
        <v>109754.64</v>
      </c>
      <c r="K132" s="187" t="n">
        <f aca="false">K130*$C$125</f>
        <v>109754.64</v>
      </c>
      <c r="L132" s="187" t="n">
        <f aca="false">L130*$C$125</f>
        <v>82315.98</v>
      </c>
      <c r="M132" s="187" t="n">
        <f aca="false">M130*$C$125</f>
        <v>82315.98</v>
      </c>
      <c r="N132" s="187" t="n">
        <f aca="false">N130*$C$125</f>
        <v>82315.98</v>
      </c>
      <c r="O132" s="187" t="n">
        <f aca="false">O130*$C$125</f>
        <v>82315.98</v>
      </c>
      <c r="P132" s="187" t="n">
        <f aca="false">P130*$C$125</f>
        <v>54877.32</v>
      </c>
      <c r="Q132" s="187" t="n">
        <f aca="false">Q130*$C$125</f>
        <v>54877.32</v>
      </c>
      <c r="R132" s="187" t="n">
        <f aca="false">R130*$C$125</f>
        <v>54877.32</v>
      </c>
      <c r="S132" s="187" t="n">
        <f aca="false">S130*$C$125</f>
        <v>0</v>
      </c>
    </row>
    <row r="133" customFormat="false" ht="15" hidden="false" customHeight="false" outlineLevel="0" collapsed="false">
      <c r="A133" s="187" t="s">
        <v>266</v>
      </c>
      <c r="B133" s="466"/>
      <c r="D133" s="305"/>
      <c r="E133" s="477"/>
      <c r="F133" s="477"/>
      <c r="G133" s="310"/>
      <c r="H133" s="339" t="n">
        <f aca="false">H162</f>
        <v>3356.85</v>
      </c>
      <c r="I133" s="339" t="n">
        <f aca="false">I162</f>
        <v>10859.565</v>
      </c>
      <c r="J133" s="339" t="n">
        <f aca="false">J162</f>
        <v>19230.1585</v>
      </c>
      <c r="K133" s="339" t="n">
        <f aca="false">K162</f>
        <v>25535.4995</v>
      </c>
      <c r="L133" s="339" t="n">
        <f aca="false">L162</f>
        <v>29486.4311</v>
      </c>
      <c r="M133" s="339" t="n">
        <f aca="false">M162</f>
        <v>33038.0634</v>
      </c>
      <c r="N133" s="339" t="n">
        <f aca="false">N162</f>
        <v>36427.9443</v>
      </c>
      <c r="O133" s="339" t="n">
        <f aca="false">O162</f>
        <v>39940.162</v>
      </c>
      <c r="P133" s="339" t="n">
        <f aca="false">P162</f>
        <v>43668.0257</v>
      </c>
      <c r="Q133" s="339" t="n">
        <f aca="false">Q162</f>
        <v>47505.2751</v>
      </c>
      <c r="R133" s="339" t="n">
        <f aca="false">R162</f>
        <v>51347.9757</v>
      </c>
      <c r="S133" s="339"/>
    </row>
    <row r="134" customFormat="false" ht="12.75" hidden="false" customHeight="false" outlineLevel="0" collapsed="false">
      <c r="A134" s="528" t="s">
        <v>269</v>
      </c>
      <c r="C134" s="542" t="n">
        <v>2</v>
      </c>
      <c r="D134" s="478" t="n">
        <f aca="false">D128*$C$134</f>
        <v>177126</v>
      </c>
      <c r="E134" s="478" t="n">
        <f aca="false">E128*$C$134</f>
        <v>162686</v>
      </c>
      <c r="F134" s="478" t="n">
        <f aca="false">F128*$C$134</f>
        <v>80790</v>
      </c>
      <c r="G134" s="478" t="n">
        <f aca="false">G128*$C$134</f>
        <v>101382</v>
      </c>
      <c r="H134" s="176" t="n">
        <f aca="false">SUM(H132:H133)</f>
        <v>140550.15</v>
      </c>
      <c r="I134" s="176" t="n">
        <f aca="false">SUM(I132:I133)</f>
        <v>148052.865</v>
      </c>
      <c r="J134" s="176" t="n">
        <f aca="false">SUM(J132:J133)</f>
        <v>128984.7985</v>
      </c>
      <c r="K134" s="176" t="n">
        <f aca="false">SUM(K132:K133)</f>
        <v>135290.1395</v>
      </c>
      <c r="L134" s="176" t="n">
        <f aca="false">SUM(L132:L133)</f>
        <v>111802.4111</v>
      </c>
      <c r="M134" s="176" t="n">
        <f aca="false">SUM(M132:M133)</f>
        <v>115354.0434</v>
      </c>
      <c r="N134" s="176" t="n">
        <f aca="false">SUM(N132:N133)</f>
        <v>118743.9243</v>
      </c>
      <c r="O134" s="176" t="n">
        <f aca="false">SUM(O132:O133)</f>
        <v>122256.142</v>
      </c>
      <c r="P134" s="176" t="n">
        <f aca="false">SUM(P132:P133)</f>
        <v>98545.3457</v>
      </c>
      <c r="Q134" s="176" t="n">
        <f aca="false">SUM(Q132:Q133)</f>
        <v>102382.5951</v>
      </c>
      <c r="R134" s="176" t="n">
        <f aca="false">SUM(R132:R133)</f>
        <v>106225.2957</v>
      </c>
      <c r="S134" s="187"/>
    </row>
    <row r="135" customFormat="false" ht="12.75" hidden="false" customHeight="false" outlineLevel="0" collapsed="false">
      <c r="D135" s="187" t="n">
        <f aca="false">(D134-D128)*0.385</f>
        <v>34096.755</v>
      </c>
      <c r="E135" s="187" t="n">
        <f aca="false">(E134-E128)*0.385</f>
        <v>31317.055</v>
      </c>
      <c r="F135" s="187" t="n">
        <f aca="false">(F134-F128)*0.385</f>
        <v>15552.075</v>
      </c>
      <c r="G135" s="187" t="n">
        <f aca="false">(G134-G128)*0.385</f>
        <v>19516.035</v>
      </c>
      <c r="H135" s="187" t="n">
        <f aca="false">(H134-H128)*0.385</f>
        <v>35794.66275</v>
      </c>
      <c r="I135" s="187" t="n">
        <f aca="false">(I134-I128)*0.385</f>
        <v>37325.205225</v>
      </c>
      <c r="J135" s="187" t="n">
        <f aca="false">(J134-J128)*0.385</f>
        <v>29122.0808725</v>
      </c>
      <c r="K135" s="187" t="n">
        <f aca="false">(K134-K128)*0.385</f>
        <v>30986.5746575</v>
      </c>
      <c r="L135" s="187" t="n">
        <f aca="false">(L134-L128)*0.385</f>
        <v>21380.7367235</v>
      </c>
      <c r="M135" s="187" t="n">
        <f aca="false">(M134-M128)*0.385</f>
        <v>22185.052659</v>
      </c>
      <c r="N135" s="187" t="n">
        <f aca="false">(N134-N128)*0.385</f>
        <v>22927.0943055</v>
      </c>
      <c r="O135" s="187" t="n">
        <f aca="false">(O134-O128)*0.385</f>
        <v>23716.23562</v>
      </c>
      <c r="P135" s="187" t="n">
        <f aca="false">(P134-P128)*0.385</f>
        <v>14024.5165445</v>
      </c>
      <c r="Q135" s="187" t="n">
        <f aca="false">(Q134-Q128)*0.385</f>
        <v>14938.7950635</v>
      </c>
      <c r="R135" s="187" t="n">
        <f aca="false">(R134-R128)*0.385</f>
        <v>15855.1722945</v>
      </c>
    </row>
    <row r="136" customFormat="false" ht="12.75" hidden="true" customHeight="false" outlineLevel="1" collapsed="false">
      <c r="A136" s="0" t="s">
        <v>270</v>
      </c>
    </row>
    <row r="137" customFormat="false" ht="12.75" hidden="true" customHeight="false" outlineLevel="1" collapsed="false">
      <c r="H137" s="297" t="n">
        <v>2001</v>
      </c>
      <c r="I137" s="298" t="n">
        <v>2002</v>
      </c>
      <c r="J137" s="298" t="n">
        <v>2003</v>
      </c>
      <c r="K137" s="298" t="n">
        <v>2004</v>
      </c>
      <c r="L137" s="298" t="n">
        <v>2005</v>
      </c>
      <c r="M137" s="298" t="n">
        <v>2006</v>
      </c>
      <c r="N137" s="299" t="n">
        <v>2007</v>
      </c>
      <c r="O137" s="299" t="n">
        <v>2008</v>
      </c>
      <c r="P137" s="299" t="n">
        <v>2009</v>
      </c>
      <c r="Q137" s="299" t="n">
        <v>2010</v>
      </c>
      <c r="R137" s="543" t="n">
        <v>2011</v>
      </c>
    </row>
    <row r="138" customFormat="false" ht="12.75" hidden="true" customHeight="false" outlineLevel="1" collapsed="false">
      <c r="A138" s="0" t="n">
        <v>2000</v>
      </c>
      <c r="B138" s="0" t="s">
        <v>271</v>
      </c>
      <c r="H138" s="185" t="n">
        <f aca="false">G$107*H$125</f>
        <v>1510.5825</v>
      </c>
      <c r="I138" s="185" t="n">
        <f aca="false">H138</f>
        <v>1510.5825</v>
      </c>
      <c r="J138" s="185" t="n">
        <f aca="false">I138</f>
        <v>1510.5825</v>
      </c>
      <c r="K138" s="185" t="n">
        <f aca="false">J138</f>
        <v>1510.5825</v>
      </c>
      <c r="L138" s="185" t="n">
        <f aca="false">K138</f>
        <v>1510.5825</v>
      </c>
      <c r="M138" s="185" t="n">
        <f aca="false">L138</f>
        <v>1510.5825</v>
      </c>
      <c r="N138" s="185" t="n">
        <f aca="false">M138</f>
        <v>1510.5825</v>
      </c>
      <c r="O138" s="185" t="n">
        <f aca="false">N138</f>
        <v>1510.5825</v>
      </c>
      <c r="P138" s="185" t="n">
        <f aca="false">O138</f>
        <v>1510.5825</v>
      </c>
      <c r="Q138" s="185" t="n">
        <f aca="false">P138</f>
        <v>1510.5825</v>
      </c>
      <c r="R138" s="185" t="n">
        <f aca="false">Q138</f>
        <v>1510.5825</v>
      </c>
    </row>
    <row r="139" customFormat="false" ht="12.75" hidden="true" customHeight="false" outlineLevel="1" collapsed="false">
      <c r="A139" s="0" t="n">
        <v>2001</v>
      </c>
      <c r="B139" s="0" t="s">
        <v>271</v>
      </c>
      <c r="H139" s="185"/>
      <c r="I139" s="185" t="n">
        <f aca="false">H$107*I$125</f>
        <v>2016.6975</v>
      </c>
      <c r="J139" s="185" t="n">
        <f aca="false">I139</f>
        <v>2016.6975</v>
      </c>
      <c r="K139" s="185" t="n">
        <f aca="false">J139</f>
        <v>2016.6975</v>
      </c>
      <c r="L139" s="185" t="n">
        <f aca="false">K139</f>
        <v>2016.6975</v>
      </c>
      <c r="M139" s="185" t="n">
        <f aca="false">L139</f>
        <v>2016.6975</v>
      </c>
      <c r="N139" s="185" t="n">
        <f aca="false">M139</f>
        <v>2016.6975</v>
      </c>
      <c r="O139" s="185" t="n">
        <f aca="false">N139</f>
        <v>2016.6975</v>
      </c>
      <c r="P139" s="185" t="n">
        <f aca="false">O139</f>
        <v>2016.6975</v>
      </c>
      <c r="Q139" s="185" t="n">
        <f aca="false">P139</f>
        <v>2016.6975</v>
      </c>
      <c r="R139" s="185" t="n">
        <f aca="false">Q139</f>
        <v>2016.6975</v>
      </c>
    </row>
    <row r="140" customFormat="false" ht="12.75" hidden="true" customHeight="false" outlineLevel="1" collapsed="false">
      <c r="A140" s="0" t="n">
        <v>2002</v>
      </c>
      <c r="B140" s="0" t="s">
        <v>271</v>
      </c>
      <c r="H140" s="185"/>
      <c r="I140" s="185"/>
      <c r="J140" s="185" t="n">
        <f aca="false">I$107*J$125</f>
        <v>2238.75</v>
      </c>
      <c r="K140" s="185" t="n">
        <f aca="false">J140</f>
        <v>2238.75</v>
      </c>
      <c r="L140" s="185" t="n">
        <f aca="false">K140</f>
        <v>2238.75</v>
      </c>
      <c r="M140" s="185" t="n">
        <f aca="false">L140</f>
        <v>2238.75</v>
      </c>
      <c r="N140" s="185" t="n">
        <f aca="false">M140</f>
        <v>2238.75</v>
      </c>
      <c r="O140" s="185" t="n">
        <f aca="false">N140</f>
        <v>2238.75</v>
      </c>
      <c r="P140" s="185" t="n">
        <f aca="false">O140</f>
        <v>2238.75</v>
      </c>
      <c r="Q140" s="185" t="n">
        <f aca="false">P140</f>
        <v>2238.75</v>
      </c>
      <c r="R140" s="185" t="n">
        <f aca="false">Q140</f>
        <v>2238.75</v>
      </c>
    </row>
    <row r="141" customFormat="false" ht="12.75" hidden="true" customHeight="false" outlineLevel="1" collapsed="false">
      <c r="A141" s="0" t="n">
        <v>2003</v>
      </c>
      <c r="B141" s="0" t="s">
        <v>271</v>
      </c>
      <c r="H141" s="185"/>
      <c r="I141" s="185"/>
      <c r="J141" s="185"/>
      <c r="K141" s="185" t="n">
        <f aca="false">J$107*K$125</f>
        <v>1462.5</v>
      </c>
      <c r="L141" s="185" t="n">
        <f aca="false">K141</f>
        <v>1462.5</v>
      </c>
      <c r="M141" s="185" t="n">
        <f aca="false">L141</f>
        <v>1462.5</v>
      </c>
      <c r="N141" s="185" t="n">
        <f aca="false">M141</f>
        <v>1462.5</v>
      </c>
      <c r="O141" s="185" t="n">
        <f aca="false">N141</f>
        <v>1462.5</v>
      </c>
      <c r="P141" s="185" t="n">
        <f aca="false">O141</f>
        <v>1462.5</v>
      </c>
      <c r="Q141" s="185" t="n">
        <f aca="false">P141</f>
        <v>1462.5</v>
      </c>
      <c r="R141" s="185" t="n">
        <f aca="false">Q141</f>
        <v>1462.5</v>
      </c>
    </row>
    <row r="142" customFormat="false" ht="12.75" hidden="true" customHeight="false" outlineLevel="1" collapsed="false">
      <c r="A142" s="0" t="n">
        <v>2004</v>
      </c>
      <c r="B142" s="0" t="s">
        <v>271</v>
      </c>
      <c r="H142" s="185"/>
      <c r="I142" s="185"/>
      <c r="J142" s="185"/>
      <c r="K142" s="185"/>
      <c r="L142" s="185" t="n">
        <f aca="false">K$107*L$125</f>
        <v>1462.5</v>
      </c>
      <c r="M142" s="185" t="n">
        <f aca="false">L142</f>
        <v>1462.5</v>
      </c>
      <c r="N142" s="185" t="n">
        <f aca="false">M142</f>
        <v>1462.5</v>
      </c>
      <c r="O142" s="185" t="n">
        <f aca="false">N142</f>
        <v>1462.5</v>
      </c>
      <c r="P142" s="185" t="n">
        <f aca="false">O142</f>
        <v>1462.5</v>
      </c>
      <c r="Q142" s="185" t="n">
        <f aca="false">P142</f>
        <v>1462.5</v>
      </c>
      <c r="R142" s="185" t="n">
        <f aca="false">Q142</f>
        <v>1462.5</v>
      </c>
    </row>
    <row r="143" customFormat="false" ht="12.75" hidden="true" customHeight="false" outlineLevel="1" collapsed="false">
      <c r="A143" s="0" t="n">
        <v>2005</v>
      </c>
      <c r="B143" s="0" t="s">
        <v>271</v>
      </c>
      <c r="H143" s="185"/>
      <c r="I143" s="185"/>
      <c r="J143" s="185"/>
      <c r="K143" s="185"/>
      <c r="L143" s="185"/>
      <c r="M143" s="185" t="n">
        <f aca="false">L$107*M$125</f>
        <v>1462.5</v>
      </c>
      <c r="N143" s="185" t="n">
        <f aca="false">M143</f>
        <v>1462.5</v>
      </c>
      <c r="O143" s="185" t="n">
        <f aca="false">N143</f>
        <v>1462.5</v>
      </c>
      <c r="P143" s="185" t="n">
        <f aca="false">O143</f>
        <v>1462.5</v>
      </c>
      <c r="Q143" s="185" t="n">
        <f aca="false">P143</f>
        <v>1462.5</v>
      </c>
      <c r="R143" s="185" t="n">
        <f aca="false">Q143</f>
        <v>1462.5</v>
      </c>
    </row>
    <row r="144" customFormat="false" ht="12.75" hidden="true" customHeight="false" outlineLevel="1" collapsed="false">
      <c r="A144" s="0" t="n">
        <v>2006</v>
      </c>
      <c r="B144" s="0" t="s">
        <v>271</v>
      </c>
      <c r="H144" s="185"/>
      <c r="I144" s="185"/>
      <c r="J144" s="185"/>
      <c r="K144" s="185"/>
      <c r="L144" s="185"/>
      <c r="M144" s="185"/>
      <c r="N144" s="185" t="n">
        <f aca="false">M$107*N$125</f>
        <v>1462.5</v>
      </c>
      <c r="O144" s="185" t="n">
        <f aca="false">N144</f>
        <v>1462.5</v>
      </c>
      <c r="P144" s="185" t="n">
        <f aca="false">O144</f>
        <v>1462.5</v>
      </c>
      <c r="Q144" s="185" t="n">
        <f aca="false">P144</f>
        <v>1462.5</v>
      </c>
      <c r="R144" s="185" t="n">
        <f aca="false">Q144</f>
        <v>1462.5</v>
      </c>
    </row>
    <row r="145" customFormat="false" ht="12.75" hidden="true" customHeight="false" outlineLevel="1" collapsed="false">
      <c r="A145" s="0" t="n">
        <v>2007</v>
      </c>
      <c r="B145" s="0" t="s">
        <v>271</v>
      </c>
      <c r="H145" s="185"/>
      <c r="I145" s="185"/>
      <c r="J145" s="185"/>
      <c r="K145" s="185"/>
      <c r="L145" s="185"/>
      <c r="M145" s="185"/>
      <c r="N145" s="185"/>
      <c r="O145" s="185" t="n">
        <f aca="false">N$107*O$125</f>
        <v>1462.5</v>
      </c>
      <c r="P145" s="185" t="n">
        <f aca="false">O145</f>
        <v>1462.5</v>
      </c>
      <c r="Q145" s="185" t="n">
        <f aca="false">P145</f>
        <v>1462.5</v>
      </c>
      <c r="R145" s="185" t="n">
        <f aca="false">Q145</f>
        <v>1462.5</v>
      </c>
    </row>
    <row r="146" customFormat="false" ht="12.75" hidden="true" customHeight="false" outlineLevel="1" collapsed="false">
      <c r="A146" s="0" t="n">
        <v>2008</v>
      </c>
      <c r="B146" s="0" t="s">
        <v>271</v>
      </c>
      <c r="H146" s="185"/>
      <c r="I146" s="185"/>
      <c r="J146" s="185"/>
      <c r="K146" s="185"/>
      <c r="L146" s="185"/>
      <c r="M146" s="185"/>
      <c r="N146" s="185"/>
      <c r="O146" s="185"/>
      <c r="P146" s="185" t="n">
        <f aca="false">O$107*P$125</f>
        <v>1462.5</v>
      </c>
      <c r="Q146" s="185" t="n">
        <f aca="false">P146</f>
        <v>1462.5</v>
      </c>
      <c r="R146" s="185" t="n">
        <f aca="false">Q146</f>
        <v>1462.5</v>
      </c>
    </row>
    <row r="147" customFormat="false" ht="12.75" hidden="true" customHeight="false" outlineLevel="1" collapsed="false">
      <c r="A147" s="0" t="n">
        <v>2009</v>
      </c>
      <c r="B147" s="0" t="s">
        <v>271</v>
      </c>
      <c r="H147" s="185"/>
      <c r="I147" s="185"/>
      <c r="J147" s="185"/>
      <c r="K147" s="185"/>
      <c r="L147" s="185"/>
      <c r="M147" s="185"/>
      <c r="N147" s="185"/>
      <c r="O147" s="185"/>
      <c r="P147" s="185"/>
      <c r="Q147" s="185" t="n">
        <f aca="false">P$107*Q$125</f>
        <v>1462.5</v>
      </c>
      <c r="R147" s="185" t="n">
        <f aca="false">Q147</f>
        <v>1462.5</v>
      </c>
    </row>
    <row r="148" customFormat="false" ht="12.75" hidden="true" customHeight="false" outlineLevel="1" collapsed="false">
      <c r="A148" s="0" t="n">
        <v>2010</v>
      </c>
      <c r="B148" s="0" t="s">
        <v>271</v>
      </c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 t="n">
        <f aca="false">Q$107*R$125</f>
        <v>1462.5</v>
      </c>
    </row>
    <row r="149" customFormat="false" ht="12.75" hidden="true" customHeight="false" outlineLevel="1" collapsed="false">
      <c r="A149" s="0" t="s">
        <v>267</v>
      </c>
      <c r="H149" s="544" t="n">
        <f aca="false">SUM(H138:H148)</f>
        <v>1510.5825</v>
      </c>
      <c r="I149" s="544" t="n">
        <f aca="false">SUM(I138:I148)</f>
        <v>3527.28</v>
      </c>
      <c r="J149" s="544" t="n">
        <f aca="false">SUM(J138:J148)</f>
        <v>5766.03</v>
      </c>
      <c r="K149" s="544" t="n">
        <f aca="false">SUM(K138:K148)</f>
        <v>7228.53</v>
      </c>
      <c r="L149" s="544" t="n">
        <f aca="false">SUM(L138:L148)</f>
        <v>8691.03</v>
      </c>
      <c r="M149" s="544" t="n">
        <f aca="false">SUM(M138:M148)</f>
        <v>10153.53</v>
      </c>
      <c r="N149" s="544" t="n">
        <f aca="false">SUM(N138:N148)</f>
        <v>11616.03</v>
      </c>
      <c r="O149" s="544" t="n">
        <f aca="false">SUM(O138:O148)</f>
        <v>13078.53</v>
      </c>
      <c r="P149" s="544" t="n">
        <f aca="false">SUM(P138:P148)</f>
        <v>14541.03</v>
      </c>
      <c r="Q149" s="544" t="n">
        <f aca="false">SUM(Q138:Q148)</f>
        <v>16003.53</v>
      </c>
      <c r="R149" s="544" t="n">
        <f aca="false">SUM(R138:R148)</f>
        <v>17466.03</v>
      </c>
    </row>
    <row r="150" customFormat="false" ht="12.75" hidden="true" customHeight="false" outlineLevel="1" collapsed="false"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</row>
    <row r="151" customFormat="false" ht="12.75" hidden="true" customHeight="false" outlineLevel="1" collapsed="false">
      <c r="A151" s="0" t="n">
        <v>2000</v>
      </c>
      <c r="B151" s="0" t="s">
        <v>271</v>
      </c>
      <c r="H151" s="185" t="n">
        <f aca="false">$G$107*H$131</f>
        <v>3356.85</v>
      </c>
      <c r="I151" s="185" t="n">
        <f aca="false">$G$107*I$131</f>
        <v>6378.015</v>
      </c>
      <c r="J151" s="185" t="n">
        <f aca="false">$G$107*J$131</f>
        <v>5740.2135</v>
      </c>
      <c r="K151" s="185" t="n">
        <f aca="false">$G$107*K$131</f>
        <v>5169.549</v>
      </c>
      <c r="L151" s="185" t="n">
        <f aca="false">$G$107*L$131</f>
        <v>4652.5941</v>
      </c>
      <c r="M151" s="185" t="n">
        <f aca="false">$G$107*M$131</f>
        <v>4182.6351</v>
      </c>
      <c r="N151" s="185" t="n">
        <f aca="false">$G$107*N$131</f>
        <v>3961.083</v>
      </c>
      <c r="O151" s="185" t="n">
        <f aca="false">$G$107*O$131</f>
        <v>3961.083</v>
      </c>
      <c r="P151" s="185" t="n">
        <f aca="false">$G$107*P$131</f>
        <v>3967.7967</v>
      </c>
      <c r="Q151" s="185" t="n">
        <f aca="false">$G$107*Q$131</f>
        <v>3961.083</v>
      </c>
      <c r="R151" s="185" t="n">
        <f aca="false">$G$107*R$131</f>
        <v>3967.7967</v>
      </c>
    </row>
    <row r="152" customFormat="false" ht="12.75" hidden="true" customHeight="false" outlineLevel="1" collapsed="false">
      <c r="A152" s="0" t="n">
        <v>2001</v>
      </c>
      <c r="B152" s="0" t="s">
        <v>271</v>
      </c>
      <c r="H152" s="185"/>
      <c r="I152" s="185" t="n">
        <f aca="false">$H$107*H$131</f>
        <v>4481.55</v>
      </c>
      <c r="J152" s="185" t="n">
        <f aca="false">$H$107*I$131</f>
        <v>8514.945</v>
      </c>
      <c r="K152" s="185" t="n">
        <f aca="false">$H$107*J$131</f>
        <v>7663.4505</v>
      </c>
      <c r="L152" s="185" t="n">
        <f aca="false">$H$107*K$131</f>
        <v>6901.587</v>
      </c>
      <c r="M152" s="185" t="n">
        <f aca="false">$H$107*L$131</f>
        <v>6211.4283</v>
      </c>
      <c r="N152" s="185" t="n">
        <f aca="false">$H$107*M$131</f>
        <v>5584.0113</v>
      </c>
      <c r="O152" s="185" t="n">
        <f aca="false">$H$107*N$131</f>
        <v>5288.229</v>
      </c>
      <c r="P152" s="185" t="n">
        <f aca="false">$H$107*O$131</f>
        <v>5288.229</v>
      </c>
      <c r="Q152" s="185" t="n">
        <f aca="false">$H$107*P$131</f>
        <v>5297.1921</v>
      </c>
      <c r="R152" s="185" t="n">
        <f aca="false">$H$107*Q$131</f>
        <v>5288.229</v>
      </c>
    </row>
    <row r="153" customFormat="false" ht="12.75" hidden="true" customHeight="false" outlineLevel="1" collapsed="false">
      <c r="A153" s="0" t="n">
        <v>2002</v>
      </c>
      <c r="B153" s="0" t="s">
        <v>271</v>
      </c>
      <c r="H153" s="185"/>
      <c r="I153" s="185"/>
      <c r="J153" s="185" t="n">
        <f aca="false">$I$107*H$131</f>
        <v>4975</v>
      </c>
      <c r="K153" s="185" t="n">
        <f aca="false">$I$107*I$131</f>
        <v>9452.5</v>
      </c>
      <c r="L153" s="185" t="n">
        <f aca="false">$I$107*J$131</f>
        <v>8507.25</v>
      </c>
      <c r="M153" s="185" t="n">
        <f aca="false">$I$107*K$131</f>
        <v>7661.5</v>
      </c>
      <c r="N153" s="185" t="n">
        <f aca="false">$I$107*L$131</f>
        <v>6895.35</v>
      </c>
      <c r="O153" s="185" t="n">
        <f aca="false">$I$107*M$131</f>
        <v>6198.85</v>
      </c>
      <c r="P153" s="185" t="n">
        <f aca="false">$I$107*N$131</f>
        <v>5870.5</v>
      </c>
      <c r="Q153" s="185" t="n">
        <f aca="false">$I$107*O$131</f>
        <v>5870.5</v>
      </c>
      <c r="R153" s="185" t="n">
        <f aca="false">$I$107*P$131</f>
        <v>5880.45</v>
      </c>
    </row>
    <row r="154" customFormat="false" ht="12.75" hidden="true" customHeight="false" outlineLevel="1" collapsed="false">
      <c r="A154" s="0" t="n">
        <v>2003</v>
      </c>
      <c r="B154" s="0" t="s">
        <v>271</v>
      </c>
      <c r="H154" s="185"/>
      <c r="I154" s="185"/>
      <c r="J154" s="185"/>
      <c r="K154" s="185" t="n">
        <f aca="false">$J$107*H$131</f>
        <v>3250</v>
      </c>
      <c r="L154" s="185" t="n">
        <f aca="false">$J$107*I$131</f>
        <v>6175</v>
      </c>
      <c r="M154" s="185" t="n">
        <f aca="false">$J$107*J$131</f>
        <v>5557.5</v>
      </c>
      <c r="N154" s="185" t="n">
        <f aca="false">$J$107*K$131</f>
        <v>5005</v>
      </c>
      <c r="O154" s="185" t="n">
        <f aca="false">$J$107*L$131</f>
        <v>4504.5</v>
      </c>
      <c r="P154" s="185" t="n">
        <f aca="false">$J$107*M$131</f>
        <v>4049.5</v>
      </c>
      <c r="Q154" s="185" t="n">
        <f aca="false">$J$107*N$131</f>
        <v>3835</v>
      </c>
      <c r="R154" s="185" t="n">
        <f aca="false">$J$107*O$131</f>
        <v>3835</v>
      </c>
    </row>
    <row r="155" customFormat="false" ht="12.75" hidden="true" customHeight="false" outlineLevel="1" collapsed="false">
      <c r="A155" s="0" t="n">
        <v>2004</v>
      </c>
      <c r="B155" s="0" t="s">
        <v>271</v>
      </c>
      <c r="H155" s="185"/>
      <c r="I155" s="185"/>
      <c r="J155" s="185"/>
      <c r="K155" s="185"/>
      <c r="L155" s="185" t="n">
        <f aca="false">$K$107*H$131</f>
        <v>3250</v>
      </c>
      <c r="M155" s="185" t="n">
        <f aca="false">$K$107*I$131</f>
        <v>6175</v>
      </c>
      <c r="N155" s="185" t="n">
        <f aca="false">$K$107*J$131</f>
        <v>5557.5</v>
      </c>
      <c r="O155" s="185" t="n">
        <f aca="false">$K$107*K$131</f>
        <v>5005</v>
      </c>
      <c r="P155" s="185" t="n">
        <f aca="false">$K$107*L$131</f>
        <v>4504.5</v>
      </c>
      <c r="Q155" s="185" t="n">
        <f aca="false">$K$107*M$131</f>
        <v>4049.5</v>
      </c>
      <c r="R155" s="185" t="n">
        <f aca="false">$K$107*N$131</f>
        <v>3835</v>
      </c>
    </row>
    <row r="156" customFormat="false" ht="12.75" hidden="true" customHeight="false" outlineLevel="1" collapsed="false">
      <c r="A156" s="0" t="n">
        <v>2005</v>
      </c>
      <c r="B156" s="0" t="s">
        <v>271</v>
      </c>
      <c r="H156" s="185"/>
      <c r="I156" s="185"/>
      <c r="J156" s="185"/>
      <c r="K156" s="185"/>
      <c r="L156" s="185"/>
      <c r="M156" s="185" t="n">
        <f aca="false">$L$107*H$131</f>
        <v>3250</v>
      </c>
      <c r="N156" s="185" t="n">
        <f aca="false">$L$107*I$131</f>
        <v>6175</v>
      </c>
      <c r="O156" s="185" t="n">
        <f aca="false">$L$107*J$131</f>
        <v>5557.5</v>
      </c>
      <c r="P156" s="185" t="n">
        <f aca="false">$L$107*K$131</f>
        <v>5005</v>
      </c>
      <c r="Q156" s="185" t="n">
        <f aca="false">$L$107*L$131</f>
        <v>4504.5</v>
      </c>
      <c r="R156" s="185" t="n">
        <f aca="false">$L$107*M$131</f>
        <v>4049.5</v>
      </c>
    </row>
    <row r="157" customFormat="false" ht="12.75" hidden="true" customHeight="false" outlineLevel="1" collapsed="false">
      <c r="A157" s="0" t="n">
        <v>2006</v>
      </c>
      <c r="B157" s="0" t="s">
        <v>271</v>
      </c>
      <c r="H157" s="185"/>
      <c r="I157" s="185"/>
      <c r="J157" s="185"/>
      <c r="K157" s="185"/>
      <c r="L157" s="185"/>
      <c r="M157" s="185"/>
      <c r="N157" s="185" t="n">
        <f aca="false">$M$107*H$131</f>
        <v>3250</v>
      </c>
      <c r="O157" s="185" t="n">
        <f aca="false">$M$107*I$131</f>
        <v>6175</v>
      </c>
      <c r="P157" s="185" t="n">
        <f aca="false">$M$107*J$131</f>
        <v>5557.5</v>
      </c>
      <c r="Q157" s="185" t="n">
        <f aca="false">$M$107*K$131</f>
        <v>5005</v>
      </c>
      <c r="R157" s="185" t="n">
        <f aca="false">$M$107*L$131</f>
        <v>4504.5</v>
      </c>
    </row>
    <row r="158" customFormat="false" ht="12.75" hidden="true" customHeight="false" outlineLevel="1" collapsed="false">
      <c r="A158" s="0" t="n">
        <v>2007</v>
      </c>
      <c r="B158" s="0" t="s">
        <v>271</v>
      </c>
      <c r="H158" s="185"/>
      <c r="I158" s="185"/>
      <c r="J158" s="185"/>
      <c r="K158" s="185"/>
      <c r="L158" s="185"/>
      <c r="M158" s="185"/>
      <c r="N158" s="185"/>
      <c r="O158" s="185" t="n">
        <f aca="false">$N$107*H$131</f>
        <v>3250</v>
      </c>
      <c r="P158" s="185" t="n">
        <f aca="false">$N$107*I$131</f>
        <v>6175</v>
      </c>
      <c r="Q158" s="185" t="n">
        <f aca="false">$N$107*J$131</f>
        <v>5557.5</v>
      </c>
      <c r="R158" s="185" t="n">
        <f aca="false">$N$107*K$131</f>
        <v>5005</v>
      </c>
    </row>
    <row r="159" customFormat="false" ht="12.75" hidden="true" customHeight="false" outlineLevel="1" collapsed="false">
      <c r="A159" s="0" t="n">
        <v>2008</v>
      </c>
      <c r="B159" s="0" t="s">
        <v>271</v>
      </c>
      <c r="H159" s="185"/>
      <c r="I159" s="185"/>
      <c r="J159" s="185"/>
      <c r="K159" s="185"/>
      <c r="L159" s="185"/>
      <c r="M159" s="185"/>
      <c r="N159" s="185"/>
      <c r="O159" s="185"/>
      <c r="P159" s="185" t="n">
        <f aca="false">$O$107*H$131</f>
        <v>3250</v>
      </c>
      <c r="Q159" s="185" t="n">
        <f aca="false">$O$107*I$131</f>
        <v>6175</v>
      </c>
      <c r="R159" s="185" t="n">
        <f aca="false">$O$107*J$131</f>
        <v>5557.5</v>
      </c>
    </row>
    <row r="160" customFormat="false" ht="12.75" hidden="true" customHeight="false" outlineLevel="1" collapsed="false">
      <c r="A160" s="0" t="n">
        <v>2009</v>
      </c>
      <c r="B160" s="0" t="s">
        <v>271</v>
      </c>
      <c r="H160" s="185"/>
      <c r="I160" s="185"/>
      <c r="J160" s="185"/>
      <c r="K160" s="185"/>
      <c r="L160" s="185"/>
      <c r="M160" s="185"/>
      <c r="N160" s="185"/>
      <c r="O160" s="185"/>
      <c r="P160" s="185"/>
      <c r="Q160" s="185" t="n">
        <f aca="false">$P$107*H$131</f>
        <v>3250</v>
      </c>
      <c r="R160" s="185" t="n">
        <f aca="false">$P$107*I$131</f>
        <v>6175</v>
      </c>
    </row>
    <row r="161" customFormat="false" ht="12.75" hidden="true" customHeight="false" outlineLevel="1" collapsed="false">
      <c r="A161" s="0" t="n">
        <v>2010</v>
      </c>
      <c r="B161" s="0" t="s">
        <v>271</v>
      </c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 t="n">
        <f aca="false">Q$107*H$131</f>
        <v>3250</v>
      </c>
    </row>
    <row r="162" customFormat="false" ht="12.75" hidden="true" customHeight="false" outlineLevel="1" collapsed="false">
      <c r="H162" s="544" t="n">
        <f aca="false">SUM(H151:H161)</f>
        <v>3356.85</v>
      </c>
      <c r="I162" s="544" t="n">
        <f aca="false">SUM(I151:I161)</f>
        <v>10859.565</v>
      </c>
      <c r="J162" s="544" t="n">
        <f aca="false">SUM(J151:J161)</f>
        <v>19230.1585</v>
      </c>
      <c r="K162" s="544" t="n">
        <f aca="false">SUM(K151:K161)</f>
        <v>25535.4995</v>
      </c>
      <c r="L162" s="544" t="n">
        <f aca="false">SUM(L151:L161)</f>
        <v>29486.4311</v>
      </c>
      <c r="M162" s="544" t="n">
        <f aca="false">SUM(M151:M161)</f>
        <v>33038.0634</v>
      </c>
      <c r="N162" s="544" t="n">
        <f aca="false">SUM(N151:N161)</f>
        <v>36427.9443</v>
      </c>
      <c r="O162" s="544" t="n">
        <f aca="false">SUM(O151:O161)</f>
        <v>39940.162</v>
      </c>
      <c r="P162" s="544" t="n">
        <f aca="false">SUM(P151:P161)</f>
        <v>43668.0257</v>
      </c>
      <c r="Q162" s="544" t="n">
        <f aca="false">SUM(Q151:Q161)</f>
        <v>47505.2751</v>
      </c>
      <c r="R162" s="544" t="n">
        <f aca="false">SUM(R151:R161)</f>
        <v>51347.9757</v>
      </c>
    </row>
    <row r="163" customFormat="false" ht="12.75" hidden="false" customHeight="false" outlineLevel="0" collapsed="false">
      <c r="D163" s="187" t="n">
        <v>1725</v>
      </c>
      <c r="E163" s="187" t="n">
        <v>9037</v>
      </c>
      <c r="F163" s="187" t="n">
        <v>25510</v>
      </c>
      <c r="G163" s="187" t="n">
        <v>41124</v>
      </c>
      <c r="H163" s="187" t="n">
        <v>18100</v>
      </c>
    </row>
  </sheetData>
  <mergeCells count="1">
    <mergeCell ref="L40:N40"/>
  </mergeCells>
  <conditionalFormatting sqref="C11">
    <cfRule type="cellIs" priority="2" operator="notBetween" aboveAverage="0" equalAverage="0" bottom="0" percent="0" rank="0" text="" dxfId="1">
      <formula>0.25</formula>
      <formula>-0.25</formula>
    </cfRule>
  </conditionalFormatting>
  <printOptions headings="false" gridLines="false" gridLinesSet="true" horizontalCentered="true" verticalCentered="false"/>
  <pageMargins left="0" right="0" top="0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&amp;L&amp;F&amp;C&amp;A&amp;R&amp;D, &amp;T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63"/>
  <sheetViews>
    <sheetView showFormulas="false" showGridLines="false" showRowColHeaders="true" showZeros="true" rightToLeft="false" tabSelected="true" showOutlineSymbols="true" defaultGridColor="true" view="pageBreakPreview" topLeftCell="B16" colorId="64" zoomScale="75" zoomScaleNormal="75" zoomScalePageLayoutView="75" workbookViewId="0">
      <selection pane="topLeft" activeCell="J35" activeCellId="0" sqref="J35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38.85"/>
    <col collapsed="false" customWidth="true" hidden="false" outlineLevel="1" max="2" min="2" style="0" width="15.85"/>
    <col collapsed="false" customWidth="true" hidden="false" outlineLevel="1" max="4" min="3" style="0" width="12.85"/>
    <col collapsed="false" customWidth="true" hidden="false" outlineLevel="0" max="6" min="5" style="204" width="15.28"/>
    <col collapsed="false" customWidth="true" hidden="false" outlineLevel="0" max="7" min="7" style="204" width="15.85"/>
    <col collapsed="false" customWidth="true" hidden="false" outlineLevel="0" max="8" min="8" style="0" width="16.84"/>
    <col collapsed="false" customWidth="true" hidden="false" outlineLevel="0" max="10" min="9" style="0" width="15.56"/>
    <col collapsed="false" customWidth="true" hidden="false" outlineLevel="0" max="11" min="11" style="0" width="15.7"/>
    <col collapsed="false" customWidth="true" hidden="false" outlineLevel="0" max="17" min="12" style="0" width="14.85"/>
    <col collapsed="false" customWidth="true" hidden="false" outlineLevel="0" max="18" min="18" style="0" width="16.56"/>
    <col collapsed="false" customWidth="true" hidden="false" outlineLevel="0" max="19" min="19" style="0" width="13.41"/>
  </cols>
  <sheetData>
    <row r="1" customFormat="false" ht="20.25" hidden="false" customHeight="false" outlineLevel="0" collapsed="false">
      <c r="A1" s="57" t="str">
        <f aca="false">"Project "&amp;Assumptions!D6</f>
        <v>Project ETS</v>
      </c>
      <c r="B1" s="10"/>
      <c r="C1" s="12"/>
      <c r="D1" s="16"/>
      <c r="E1" s="437"/>
      <c r="F1" s="437"/>
      <c r="G1" s="395" t="s">
        <v>50</v>
      </c>
      <c r="H1" s="438"/>
      <c r="I1" s="439"/>
    </row>
    <row r="2" customFormat="false" ht="15.75" hidden="false" customHeight="false" outlineLevel="0" collapsed="false">
      <c r="A2" s="440" t="s">
        <v>46</v>
      </c>
      <c r="B2" s="441"/>
      <c r="C2" s="18"/>
      <c r="D2" s="16"/>
      <c r="E2" s="442"/>
      <c r="F2" s="442"/>
      <c r="G2" s="443"/>
      <c r="H2" s="318"/>
      <c r="I2" s="444"/>
      <c r="J2" s="318"/>
      <c r="S2" s="204"/>
    </row>
    <row r="3" customFormat="false" ht="16.5" hidden="false" customHeight="false" outlineLevel="0" collapsed="false">
      <c r="A3" s="445" t="s">
        <v>218</v>
      </c>
      <c r="B3" s="446"/>
      <c r="C3" s="30"/>
      <c r="D3" s="16"/>
      <c r="E3" s="442"/>
      <c r="F3" s="442"/>
      <c r="G3" s="443"/>
      <c r="H3" s="16"/>
      <c r="I3" s="444"/>
      <c r="J3" s="318"/>
      <c r="S3" s="204"/>
    </row>
    <row r="4" customFormat="false" ht="13.5" hidden="false" customHeight="false" outlineLevel="0" collapsed="false">
      <c r="A4" s="447"/>
      <c r="B4" s="441"/>
      <c r="E4" s="442"/>
      <c r="F4" s="442"/>
      <c r="G4" s="448"/>
      <c r="H4" s="449"/>
      <c r="I4" s="450"/>
      <c r="J4" s="318"/>
      <c r="S4" s="204"/>
    </row>
    <row r="5" customFormat="false" ht="12.75" hidden="false" customHeight="false" outlineLevel="0" collapsed="false">
      <c r="A5" s="447"/>
      <c r="B5" s="441"/>
      <c r="E5" s="442"/>
      <c r="F5" s="442"/>
      <c r="G5" s="72"/>
      <c r="H5" s="318"/>
      <c r="I5" s="318"/>
      <c r="J5" s="318"/>
      <c r="S5" s="204"/>
    </row>
    <row r="6" customFormat="false" ht="15.75" hidden="false" customHeight="false" outlineLevel="0" collapsed="false">
      <c r="A6" s="284" t="s">
        <v>155</v>
      </c>
      <c r="B6" s="285"/>
      <c r="C6" s="85"/>
      <c r="D6" s="85"/>
      <c r="E6" s="286"/>
      <c r="F6" s="286"/>
      <c r="G6" s="85"/>
      <c r="H6" s="287"/>
      <c r="I6" s="287"/>
      <c r="J6" s="287"/>
      <c r="K6" s="85"/>
      <c r="L6" s="85"/>
      <c r="M6" s="85"/>
      <c r="N6" s="85"/>
      <c r="O6" s="85"/>
      <c r="P6" s="85"/>
      <c r="Q6" s="85"/>
      <c r="R6" s="85"/>
      <c r="S6" s="290"/>
    </row>
    <row r="7" customFormat="false" ht="12.75" hidden="false" customHeight="false" outlineLevel="0" collapsed="false">
      <c r="E7" s="292"/>
      <c r="F7" s="292"/>
      <c r="G7" s="293"/>
      <c r="H7" s="294" t="s">
        <v>156</v>
      </c>
      <c r="I7" s="295"/>
      <c r="J7" s="293"/>
      <c r="K7" s="293"/>
      <c r="L7" s="296"/>
      <c r="M7" s="293"/>
      <c r="N7" s="296"/>
      <c r="O7" s="296"/>
      <c r="P7" s="296"/>
      <c r="Q7" s="296"/>
      <c r="R7" s="75"/>
      <c r="S7" s="451"/>
      <c r="T7" s="451"/>
    </row>
    <row r="8" customFormat="false" ht="12.75" hidden="false" customHeight="false" outlineLevel="0" collapsed="false">
      <c r="D8" s="452" t="n">
        <v>1997</v>
      </c>
      <c r="E8" s="297" t="n">
        <v>1998</v>
      </c>
      <c r="F8" s="297" t="n">
        <v>1999</v>
      </c>
      <c r="G8" s="297" t="n">
        <v>2000</v>
      </c>
      <c r="H8" s="297" t="n">
        <v>2001</v>
      </c>
      <c r="I8" s="298" t="n">
        <v>2002</v>
      </c>
      <c r="J8" s="298" t="n">
        <v>2003</v>
      </c>
      <c r="K8" s="298" t="n">
        <v>2004</v>
      </c>
      <c r="L8" s="298" t="n">
        <v>2005</v>
      </c>
      <c r="M8" s="298" t="n">
        <v>2006</v>
      </c>
      <c r="N8" s="299" t="n">
        <v>2007</v>
      </c>
      <c r="O8" s="299" t="n">
        <v>2008</v>
      </c>
      <c r="P8" s="299" t="n">
        <v>2009</v>
      </c>
      <c r="Q8" s="299" t="n">
        <v>2010</v>
      </c>
      <c r="R8" s="300" t="n">
        <v>2011</v>
      </c>
      <c r="S8" s="187"/>
      <c r="T8" s="187"/>
    </row>
    <row r="9" customFormat="false" ht="12.75" hidden="false" customHeight="false" outlineLevel="0" collapsed="false">
      <c r="G9" s="301" t="s">
        <v>157</v>
      </c>
      <c r="H9" s="297" t="n">
        <v>1</v>
      </c>
      <c r="I9" s="298" t="n">
        <v>2</v>
      </c>
      <c r="J9" s="298" t="n">
        <v>3</v>
      </c>
      <c r="K9" s="298" t="n">
        <v>4</v>
      </c>
      <c r="L9" s="298" t="n">
        <v>5</v>
      </c>
      <c r="M9" s="298" t="n">
        <v>6</v>
      </c>
      <c r="N9" s="298" t="n">
        <v>7</v>
      </c>
      <c r="O9" s="298" t="n">
        <v>8</v>
      </c>
      <c r="P9" s="298" t="n">
        <v>9</v>
      </c>
      <c r="Q9" s="298" t="n">
        <v>10</v>
      </c>
      <c r="R9" s="302" t="n">
        <v>11</v>
      </c>
      <c r="S9" s="187"/>
      <c r="T9" s="187"/>
    </row>
    <row r="10" customFormat="false" ht="12.75" hidden="false" customHeight="false" outlineLevel="0" collapsed="false">
      <c r="E10" s="442"/>
      <c r="F10" s="442"/>
      <c r="G10" s="187"/>
      <c r="H10" s="453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204"/>
    </row>
    <row r="11" customFormat="false" ht="12.75" hidden="false" customHeight="false" outlineLevel="0" collapsed="false">
      <c r="A11" s="454" t="s">
        <v>160</v>
      </c>
      <c r="B11" s="455"/>
      <c r="C11" s="456"/>
      <c r="D11" s="457" t="n">
        <f aca="false">D59</f>
        <v>147615</v>
      </c>
      <c r="E11" s="457" t="n">
        <f aca="false">E59</f>
        <v>167593</v>
      </c>
      <c r="F11" s="457" t="n">
        <f aca="false">F59</f>
        <v>155749</v>
      </c>
      <c r="G11" s="457" t="n">
        <f aca="false">G59</f>
        <v>176813</v>
      </c>
      <c r="H11" s="176" t="n">
        <f aca="false">H59</f>
        <v>202544</v>
      </c>
      <c r="I11" s="176" t="n">
        <f aca="false">I59</f>
        <v>200919</v>
      </c>
      <c r="J11" s="176" t="n">
        <f aca="false">J59</f>
        <v>219175.98</v>
      </c>
      <c r="K11" s="176" t="n">
        <f aca="false">K59</f>
        <v>229807.4162</v>
      </c>
      <c r="L11" s="176" t="n">
        <f aca="false">L59</f>
        <v>240957.899698</v>
      </c>
      <c r="M11" s="176" t="n">
        <f aca="false">M59</f>
        <v>252667.13187842</v>
      </c>
      <c r="N11" s="176" t="n">
        <f aca="false">N59</f>
        <v>254443.140961716</v>
      </c>
      <c r="O11" s="176" t="n">
        <f aca="false">O59</f>
        <v>256307.950499177</v>
      </c>
      <c r="P11" s="176" t="n">
        <f aca="false">P59</f>
        <v>258266.000513511</v>
      </c>
      <c r="Q11" s="176" t="n">
        <f aca="false">Q59</f>
        <v>258283.321477573</v>
      </c>
      <c r="R11" s="176" t="n">
        <f aca="false">R59</f>
        <v>258301.508489839</v>
      </c>
      <c r="S11" s="204"/>
    </row>
    <row r="12" customFormat="false" ht="12.75" hidden="false" customHeight="false" outlineLevel="0" collapsed="false">
      <c r="D12" s="458"/>
      <c r="E12" s="458"/>
      <c r="F12" s="458"/>
      <c r="G12" s="310"/>
      <c r="H12" s="453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204"/>
    </row>
    <row r="13" customFormat="false" ht="12.75" hidden="false" customHeight="false" outlineLevel="0" collapsed="false">
      <c r="A13" s="25" t="s">
        <v>219</v>
      </c>
      <c r="B13" s="459"/>
      <c r="C13" s="16"/>
      <c r="D13" s="457" t="n">
        <f aca="false">D83</f>
        <v>41219</v>
      </c>
      <c r="E13" s="457" t="n">
        <f aca="false">E83</f>
        <v>44641</v>
      </c>
      <c r="F13" s="457" t="n">
        <f aca="false">F83</f>
        <v>49160</v>
      </c>
      <c r="G13" s="457" t="n">
        <f aca="false">G83</f>
        <v>50764</v>
      </c>
      <c r="H13" s="176" t="n">
        <f aca="false">H83</f>
        <v>54402</v>
      </c>
      <c r="I13" s="176" t="n">
        <f aca="false">I83</f>
        <v>63866</v>
      </c>
      <c r="J13" s="176" t="n">
        <f aca="false">J83</f>
        <v>63866</v>
      </c>
      <c r="K13" s="176" t="n">
        <f aca="false">K83</f>
        <v>63866</v>
      </c>
      <c r="L13" s="176" t="n">
        <f aca="false">L83</f>
        <v>63866</v>
      </c>
      <c r="M13" s="176" t="n">
        <f aca="false">M83</f>
        <v>63866</v>
      </c>
      <c r="N13" s="176" t="n">
        <f aca="false">N83</f>
        <v>63866</v>
      </c>
      <c r="O13" s="176" t="n">
        <f aca="false">O83</f>
        <v>63866</v>
      </c>
      <c r="P13" s="176" t="n">
        <f aca="false">P83</f>
        <v>63866</v>
      </c>
      <c r="Q13" s="176" t="n">
        <f aca="false">Q83</f>
        <v>63866</v>
      </c>
      <c r="R13" s="176" t="n">
        <f aca="false">R83</f>
        <v>63866</v>
      </c>
      <c r="S13" s="204"/>
    </row>
    <row r="14" customFormat="false" ht="12.75" hidden="false" customHeight="false" outlineLevel="0" collapsed="false">
      <c r="A14" s="25"/>
      <c r="B14" s="459"/>
      <c r="C14" s="16"/>
      <c r="D14" s="460"/>
      <c r="E14" s="460"/>
      <c r="F14" s="460"/>
      <c r="G14" s="460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04"/>
    </row>
    <row r="15" customFormat="false" ht="12.75" hidden="false" customHeight="false" outlineLevel="0" collapsed="false">
      <c r="A15" s="25" t="s">
        <v>197</v>
      </c>
      <c r="B15" s="16"/>
      <c r="C15" s="16"/>
      <c r="D15" s="457" t="n">
        <f aca="false">(D11-D13)</f>
        <v>106396</v>
      </c>
      <c r="E15" s="457" t="n">
        <f aca="false">(E11-E13)</f>
        <v>122952</v>
      </c>
      <c r="F15" s="457" t="n">
        <f aca="false">(F11-F13)</f>
        <v>106589</v>
      </c>
      <c r="G15" s="457" t="n">
        <f aca="false">(G11-G13)</f>
        <v>126049</v>
      </c>
      <c r="H15" s="176" t="n">
        <f aca="false">(H11-H13)</f>
        <v>148142</v>
      </c>
      <c r="I15" s="176" t="n">
        <f aca="false">(I11-I13)</f>
        <v>137053</v>
      </c>
      <c r="J15" s="176" t="n">
        <f aca="false">(J11-J13)</f>
        <v>155309.98</v>
      </c>
      <c r="K15" s="176" t="n">
        <f aca="false">(K11-K13)</f>
        <v>165941.4162</v>
      </c>
      <c r="L15" s="176" t="n">
        <f aca="false">(L11-L13)</f>
        <v>177091.899698</v>
      </c>
      <c r="M15" s="176" t="n">
        <f aca="false">(M11-M13)</f>
        <v>188801.13187842</v>
      </c>
      <c r="N15" s="176" t="n">
        <f aca="false">(N11-N13)</f>
        <v>190577.140961716</v>
      </c>
      <c r="O15" s="176" t="n">
        <f aca="false">(O11-O13)</f>
        <v>192441.950499177</v>
      </c>
      <c r="P15" s="176" t="n">
        <f aca="false">(P11-P13)</f>
        <v>194400.000513511</v>
      </c>
      <c r="Q15" s="176" t="n">
        <f aca="false">(Q11-Q13)</f>
        <v>194417.321477573</v>
      </c>
      <c r="R15" s="176" t="n">
        <f aca="false">(R11-R13)</f>
        <v>194435.508489839</v>
      </c>
      <c r="S15" s="204"/>
    </row>
    <row r="16" customFormat="false" ht="12.75" hidden="false" customHeight="false" outlineLevel="0" collapsed="false">
      <c r="A16" s="461" t="s">
        <v>220</v>
      </c>
      <c r="B16" s="53"/>
      <c r="C16" s="53"/>
      <c r="D16" s="322" t="n">
        <f aca="false">D11/D13</f>
        <v>3.58123680826803</v>
      </c>
      <c r="E16" s="322" t="n">
        <f aca="false">E11/E13</f>
        <v>3.75423937635806</v>
      </c>
      <c r="F16" s="322" t="n">
        <f aca="false">F11/F13</f>
        <v>3.16820585842148</v>
      </c>
      <c r="G16" s="322" t="n">
        <f aca="false">G11/G13</f>
        <v>3.48303916161059</v>
      </c>
      <c r="H16" s="323" t="n">
        <f aca="false">H11/H13</f>
        <v>3.72309841549943</v>
      </c>
      <c r="I16" s="323" t="n">
        <f aca="false">I11/I13</f>
        <v>3.14594619985595</v>
      </c>
      <c r="J16" s="323" t="n">
        <f aca="false">J11/J13</f>
        <v>3.43181003977077</v>
      </c>
      <c r="K16" s="323" t="n">
        <f aca="false">K11/K13</f>
        <v>3.59827476591614</v>
      </c>
      <c r="L16" s="323" t="n">
        <f aca="false">L11/L13</f>
        <v>3.77286662227163</v>
      </c>
      <c r="M16" s="323" t="n">
        <f aca="false">M11/M13</f>
        <v>3.95620724451852</v>
      </c>
      <c r="N16" s="323" t="n">
        <f aca="false">N11/N13</f>
        <v>3.98401561021069</v>
      </c>
      <c r="O16" s="323" t="n">
        <f aca="false">O11/O13</f>
        <v>4.01321439418747</v>
      </c>
      <c r="P16" s="323" t="n">
        <f aca="false">P11/P13</f>
        <v>4.04387311736308</v>
      </c>
      <c r="Q16" s="323" t="n">
        <f aca="false">Q11/Q13</f>
        <v>4.04414432526811</v>
      </c>
      <c r="R16" s="323" t="n">
        <f aca="false">R11/R13</f>
        <v>4.04442909356839</v>
      </c>
      <c r="S16" s="204"/>
    </row>
    <row r="17" customFormat="false" ht="12.75" hidden="false" customHeight="false" outlineLevel="0" collapsed="false">
      <c r="A17" s="461" t="s">
        <v>221</v>
      </c>
      <c r="B17" s="53"/>
      <c r="C17" s="53"/>
      <c r="D17" s="462" t="n">
        <f aca="false">(D11-D13)/D11</f>
        <v>0.720766859736477</v>
      </c>
      <c r="E17" s="462" t="n">
        <f aca="false">(E11-E13)/E11</f>
        <v>0.733634459673137</v>
      </c>
      <c r="F17" s="462" t="n">
        <f aca="false">(F11-F13)/F11</f>
        <v>0.684363944551811</v>
      </c>
      <c r="G17" s="462" t="n">
        <f aca="false">(G11-G13)/G11</f>
        <v>0.712894413872283</v>
      </c>
      <c r="H17" s="463" t="n">
        <f aca="false">(H11-H13)/H11</f>
        <v>0.731406509202939</v>
      </c>
      <c r="I17" s="463" t="n">
        <f aca="false">(I11-I13)/I11</f>
        <v>0.68213060984775</v>
      </c>
      <c r="J17" s="463" t="n">
        <f aca="false">(J11-J13)/J11</f>
        <v>0.708608580192045</v>
      </c>
      <c r="K17" s="463" t="n">
        <f aca="false">(K11-K13)/K11</f>
        <v>0.722089038482475</v>
      </c>
      <c r="L17" s="463" t="n">
        <f aca="false">(L11-L13)/L11</f>
        <v>0.734949548945915</v>
      </c>
      <c r="M17" s="463" t="n">
        <f aca="false">(M11-M13)/M11</f>
        <v>0.747232655370737</v>
      </c>
      <c r="N17" s="463" t="n">
        <f aca="false">(N11-N13)/N11</f>
        <v>0.748996967422245</v>
      </c>
      <c r="O17" s="463" t="n">
        <f aca="false">(O11-O13)/O11</f>
        <v>0.750823180179871</v>
      </c>
      <c r="P17" s="463" t="n">
        <f aca="false">(P11-P13)/P11</f>
        <v>0.752712320347955</v>
      </c>
      <c r="Q17" s="463" t="n">
        <f aca="false">(Q11-Q13)/Q11</f>
        <v>0.752728903923649</v>
      </c>
      <c r="R17" s="463" t="n">
        <f aca="false">(R11-R13)/R11</f>
        <v>0.752746314284447</v>
      </c>
      <c r="S17" s="204"/>
    </row>
    <row r="18" customFormat="false" ht="12.75" hidden="false" customHeight="false" outlineLevel="0" collapsed="false">
      <c r="D18" s="305"/>
      <c r="E18" s="305"/>
      <c r="F18" s="305"/>
      <c r="G18" s="305"/>
      <c r="H18" s="204"/>
      <c r="S18" s="204"/>
    </row>
    <row r="19" customFormat="false" ht="12.75" hidden="false" customHeight="false" outlineLevel="0" collapsed="false">
      <c r="A19" s="386" t="s">
        <v>222</v>
      </c>
      <c r="D19" s="464" t="n">
        <f aca="false">11607+4046</f>
        <v>15653</v>
      </c>
      <c r="E19" s="464" t="n">
        <f aca="false">13687+1493</f>
        <v>15180</v>
      </c>
      <c r="F19" s="464" t="n">
        <f aca="false">18322+2308</f>
        <v>20630</v>
      </c>
      <c r="G19" s="465" t="n">
        <f aca="false">21685+2168</f>
        <v>23853</v>
      </c>
      <c r="H19" s="184" t="n">
        <f aca="false">8559+46</f>
        <v>8605</v>
      </c>
      <c r="I19" s="184" t="n">
        <f aca="false">8800+353+4388</f>
        <v>13541</v>
      </c>
      <c r="J19" s="184" t="n">
        <f aca="false">+I19-2200</f>
        <v>11341</v>
      </c>
      <c r="K19" s="184" t="n">
        <f aca="false">J19</f>
        <v>11341</v>
      </c>
      <c r="L19" s="184" t="n">
        <f aca="false">K19</f>
        <v>11341</v>
      </c>
      <c r="M19" s="184" t="n">
        <f aca="false">L19</f>
        <v>11341</v>
      </c>
      <c r="N19" s="184" t="n">
        <f aca="false">M19</f>
        <v>11341</v>
      </c>
      <c r="O19" s="184" t="n">
        <f aca="false">N19</f>
        <v>11341</v>
      </c>
      <c r="P19" s="184" t="n">
        <f aca="false">O19</f>
        <v>11341</v>
      </c>
      <c r="Q19" s="184" t="n">
        <f aca="false">P19</f>
        <v>11341</v>
      </c>
      <c r="R19" s="184" t="n">
        <f aca="false">Q19</f>
        <v>11341</v>
      </c>
      <c r="S19" s="204"/>
    </row>
    <row r="20" customFormat="false" ht="12.75" hidden="false" customHeight="false" outlineLevel="0" collapsed="false">
      <c r="A20" s="386" t="s">
        <v>168</v>
      </c>
      <c r="D20" s="464"/>
      <c r="E20" s="464" t="n">
        <v>0</v>
      </c>
      <c r="F20" s="464" t="n">
        <v>0</v>
      </c>
      <c r="G20" s="465" t="n">
        <v>0</v>
      </c>
      <c r="H20" s="184" t="n">
        <v>0</v>
      </c>
      <c r="I20" s="184" t="n">
        <f aca="false">H20</f>
        <v>0</v>
      </c>
      <c r="J20" s="184" t="n">
        <f aca="false">I20*Curves!F35</f>
        <v>0</v>
      </c>
      <c r="K20" s="184" t="n">
        <f aca="false">J20*Curves!G35</f>
        <v>0</v>
      </c>
      <c r="L20" s="184" t="n">
        <f aca="false">K20*Curves!H35</f>
        <v>0</v>
      </c>
      <c r="M20" s="184" t="n">
        <f aca="false">L20*Curves!I35</f>
        <v>0</v>
      </c>
      <c r="N20" s="184" t="n">
        <f aca="false">M20*Curves!J35</f>
        <v>0</v>
      </c>
      <c r="O20" s="184" t="n">
        <f aca="false">N20*Curves!K35</f>
        <v>0</v>
      </c>
      <c r="P20" s="184" t="n">
        <f aca="false">O20*Curves!L35</f>
        <v>0</v>
      </c>
      <c r="Q20" s="184" t="n">
        <f aca="false">P20*Curves!M35</f>
        <v>0</v>
      </c>
      <c r="R20" s="184" t="n">
        <f aca="false">Q20*Curves!N35</f>
        <v>0</v>
      </c>
      <c r="S20" s="204"/>
    </row>
    <row r="21" customFormat="false" ht="12.75" hidden="false" customHeight="false" outlineLevel="0" collapsed="false">
      <c r="A21" s="386" t="s">
        <v>223</v>
      </c>
      <c r="B21" s="466"/>
      <c r="D21" s="464" t="n">
        <f aca="false">17429+5215</f>
        <v>22644</v>
      </c>
      <c r="E21" s="464" t="n">
        <f aca="false">18210+4927</f>
        <v>23137</v>
      </c>
      <c r="F21" s="464" t="n">
        <f aca="false">18971+4762</f>
        <v>23733</v>
      </c>
      <c r="G21" s="465" t="n">
        <f aca="false">19658+4749</f>
        <v>24407</v>
      </c>
      <c r="H21" s="158" t="n">
        <f aca="false">H128+8346</f>
        <v>28786</v>
      </c>
      <c r="I21" s="158" t="n">
        <f aca="false">I128+7633</f>
        <v>29537.81</v>
      </c>
      <c r="J21" s="158" t="n">
        <f aca="false">J128+7633-800</f>
        <v>29658.81</v>
      </c>
      <c r="K21" s="158" t="n">
        <f aca="false">K128+7600-1600</f>
        <v>29125.81</v>
      </c>
      <c r="L21" s="158" t="n">
        <f aca="false">L128+7600-2400</f>
        <v>28625.81</v>
      </c>
      <c r="M21" s="158" t="n">
        <f aca="false">M128</f>
        <v>23725.81</v>
      </c>
      <c r="N21" s="158" t="n">
        <f aca="false">N128</f>
        <v>24025.81</v>
      </c>
      <c r="O21" s="158" t="n">
        <f aca="false">O128</f>
        <v>24325.81</v>
      </c>
      <c r="P21" s="158" t="n">
        <f aca="false">P128</f>
        <v>24625.81</v>
      </c>
      <c r="Q21" s="158" t="n">
        <f aca="false">Q128</f>
        <v>24925.81</v>
      </c>
      <c r="R21" s="158" t="n">
        <f aca="false">R128</f>
        <v>25225.81</v>
      </c>
      <c r="S21" s="204"/>
    </row>
    <row r="22" customFormat="false" ht="12.75" hidden="false" customHeight="false" outlineLevel="0" collapsed="false">
      <c r="D22" s="469"/>
      <c r="E22" s="469"/>
      <c r="F22" s="469"/>
      <c r="G22" s="333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04"/>
    </row>
    <row r="23" customFormat="false" ht="12.75" hidden="false" customHeight="false" outlineLevel="0" collapsed="false">
      <c r="A23" s="25" t="s">
        <v>200</v>
      </c>
      <c r="B23" s="16"/>
      <c r="C23" s="16"/>
      <c r="D23" s="457" t="n">
        <f aca="false">D15+D19+D20-D21</f>
        <v>99405</v>
      </c>
      <c r="E23" s="457" t="n">
        <f aca="false">E15+E19+E20-E21</f>
        <v>114995</v>
      </c>
      <c r="F23" s="457" t="n">
        <f aca="false">F15+F19+F20-F21</f>
        <v>103486</v>
      </c>
      <c r="G23" s="457" t="n">
        <f aca="false">G15+G19+G20-G21</f>
        <v>125495</v>
      </c>
      <c r="H23" s="176" t="n">
        <f aca="false">H15+H19+H20-H21</f>
        <v>127961</v>
      </c>
      <c r="I23" s="176" t="n">
        <f aca="false">I15+I19+I20-I21</f>
        <v>121056.19</v>
      </c>
      <c r="J23" s="176" t="n">
        <f aca="false">J15+J19+J20-J21</f>
        <v>136992.17</v>
      </c>
      <c r="K23" s="176" t="n">
        <f aca="false">K15+K19+K20-K21</f>
        <v>148156.6062</v>
      </c>
      <c r="L23" s="176" t="n">
        <f aca="false">L15+L19+L20-L21</f>
        <v>159807.089698</v>
      </c>
      <c r="M23" s="176" t="n">
        <f aca="false">M15+M19+M20-M21</f>
        <v>176416.32187842</v>
      </c>
      <c r="N23" s="176" t="n">
        <f aca="false">N15+N19+N20-N21</f>
        <v>177892.330961716</v>
      </c>
      <c r="O23" s="176" t="n">
        <f aca="false">O15+O19+O20-O21</f>
        <v>179457.140499177</v>
      </c>
      <c r="P23" s="176" t="n">
        <f aca="false">P15+P19+P20-P21</f>
        <v>181115.190513511</v>
      </c>
      <c r="Q23" s="176" t="n">
        <f aca="false">Q15+Q19+Q20-Q21</f>
        <v>180832.511477573</v>
      </c>
      <c r="R23" s="176" t="n">
        <f aca="false">R15+R19+R20-R21</f>
        <v>180550.698489839</v>
      </c>
      <c r="S23" s="204"/>
    </row>
    <row r="24" customFormat="false" ht="12.75" hidden="false" customHeight="false" outlineLevel="0" collapsed="false">
      <c r="D24" s="470"/>
      <c r="E24" s="470"/>
      <c r="F24" s="470"/>
      <c r="G24" s="310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204"/>
    </row>
    <row r="25" customFormat="false" ht="12.75" hidden="false" customHeight="false" outlineLevel="0" collapsed="false">
      <c r="A25" s="243" t="s">
        <v>224</v>
      </c>
      <c r="D25" s="470"/>
      <c r="E25" s="470"/>
      <c r="F25" s="470"/>
      <c r="G25" s="310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204"/>
    </row>
    <row r="26" customFormat="false" ht="12.75" hidden="false" customHeight="false" outlineLevel="0" collapsed="false">
      <c r="A26" s="471" t="s">
        <v>173</v>
      </c>
      <c r="D26" s="467" t="n">
        <f aca="false">$B$28*(D15+D19+D20-D134)</f>
        <v>33911.955</v>
      </c>
      <c r="E26" s="467" t="n">
        <f aca="false">$B$28*(E15+E19+E20-E134)</f>
        <v>39819.2025</v>
      </c>
      <c r="F26" s="467" t="n">
        <f aca="false">$B$28*(F15+F19+F20-F134)</f>
        <v>35273.5075</v>
      </c>
      <c r="G26" s="467" t="n">
        <f aca="false">$B$28*(G15+G19+G20-G134)</f>
        <v>43617.2275</v>
      </c>
      <c r="H26" s="472" t="n">
        <f aca="false">$B$28*(H15+H19+H20-H134)</f>
        <v>46477.509925</v>
      </c>
      <c r="I26" s="472" t="n">
        <f aca="false">$B$28*(I15+I19+I20-I134)</f>
        <v>40385.466275</v>
      </c>
      <c r="J26" s="472" t="n">
        <f aca="false">$B$28*(J15+J19+J20-J134)</f>
        <v>44313.6099175</v>
      </c>
      <c r="K26" s="472" t="n">
        <f aca="false">$B$28*(K15+K19+K20-K134)</f>
        <v>47303.7509945</v>
      </c>
      <c r="L26" s="472" t="n">
        <f aca="false">$B$28*(L15+L19+L20-L134)</f>
        <v>55200.59121423</v>
      </c>
      <c r="M26" s="472" t="n">
        <f aca="false">$B$28*(M15+M19+M20-M134)</f>
        <v>59532.7589311917</v>
      </c>
      <c r="N26" s="472" t="n">
        <f aca="false">$B$28*(N15+N19+N20-N134)</f>
        <v>60026.7277077607</v>
      </c>
      <c r="O26" s="472" t="n">
        <f aca="false">$B$28*(O15+O19+O20-O134)</f>
        <v>60463.0697821831</v>
      </c>
      <c r="P26" s="472" t="n">
        <f aca="false">$B$28*(P15+P19+P20-P134)</f>
        <v>64614.4420512016</v>
      </c>
      <c r="Q26" s="472" t="n">
        <f aca="false">$B$28*(Q15+Q19+Q20-Q134)</f>
        <v>64165.3262163657</v>
      </c>
      <c r="R26" s="472" t="n">
        <f aca="false">$B$28*(R15+R19+R20-R134)</f>
        <v>63717.148722088</v>
      </c>
      <c r="S26" s="204"/>
    </row>
    <row r="27" customFormat="false" ht="12.75" hidden="false" customHeight="false" outlineLevel="0" collapsed="false">
      <c r="A27" s="471" t="s">
        <v>125</v>
      </c>
      <c r="D27" s="473" t="n">
        <f aca="false">D28-D26</f>
        <v>4358.97</v>
      </c>
      <c r="E27" s="473" t="n">
        <f aca="false">E28-E26</f>
        <v>4453.87250000001</v>
      </c>
      <c r="F27" s="473" t="n">
        <f aca="false">F28-F26</f>
        <v>4568.6025</v>
      </c>
      <c r="G27" s="473" t="n">
        <f aca="false">G28-G26</f>
        <v>4698.3475</v>
      </c>
      <c r="H27" s="474" t="n">
        <f aca="false">H28-H26</f>
        <v>2787.475075</v>
      </c>
      <c r="I27" s="474" t="n">
        <f aca="false">I28-I26</f>
        <v>6221.166875</v>
      </c>
      <c r="J27" s="474" t="n">
        <f aca="false">J28-J26</f>
        <v>8428.3755325</v>
      </c>
      <c r="K27" s="474" t="n">
        <f aca="false">K28-K26</f>
        <v>9736.5423925</v>
      </c>
      <c r="L27" s="474" t="n">
        <f aca="false">L28-L26</f>
        <v>6325.1383195</v>
      </c>
      <c r="M27" s="474" t="n">
        <f aca="false">M28-M26</f>
        <v>8387.524992</v>
      </c>
      <c r="N27" s="474" t="n">
        <f aca="false">N28-N26</f>
        <v>8461.8197125</v>
      </c>
      <c r="O27" s="474" t="n">
        <f aca="false">O28-O26</f>
        <v>8627.92931</v>
      </c>
      <c r="P27" s="474" t="n">
        <f aca="false">P28-P26</f>
        <v>5114.90629650001</v>
      </c>
      <c r="Q27" s="474" t="n">
        <f aca="false">Q28-Q26</f>
        <v>5455.1907025</v>
      </c>
      <c r="R27" s="474" t="n">
        <f aca="false">R28-R26</f>
        <v>5794.87019650001</v>
      </c>
      <c r="S27" s="204"/>
    </row>
    <row r="28" customFormat="false" ht="12.75" hidden="false" customHeight="false" outlineLevel="0" collapsed="false">
      <c r="A28" s="475" t="s">
        <v>174</v>
      </c>
      <c r="B28" s="476" t="n">
        <f aca="false">Assumptions!D10</f>
        <v>0.385</v>
      </c>
      <c r="D28" s="457" t="n">
        <f aca="false">D23*$B$28</f>
        <v>38270.925</v>
      </c>
      <c r="E28" s="457" t="n">
        <f aca="false">E23*$B$28</f>
        <v>44273.075</v>
      </c>
      <c r="F28" s="457" t="n">
        <f aca="false">F23*$B$28</f>
        <v>39842.11</v>
      </c>
      <c r="G28" s="457" t="n">
        <f aca="false">G23*$B$28</f>
        <v>48315.575</v>
      </c>
      <c r="H28" s="176" t="n">
        <f aca="false">H23*$B$28</f>
        <v>49264.985</v>
      </c>
      <c r="I28" s="176" t="n">
        <f aca="false">I23*$B$28</f>
        <v>46606.63315</v>
      </c>
      <c r="J28" s="176" t="n">
        <f aca="false">J23*$B$28</f>
        <v>52741.98545</v>
      </c>
      <c r="K28" s="176" t="n">
        <f aca="false">K23*$B$28</f>
        <v>57040.293387</v>
      </c>
      <c r="L28" s="176" t="n">
        <f aca="false">L23*$B$28</f>
        <v>61525.72953373</v>
      </c>
      <c r="M28" s="176" t="n">
        <f aca="false">M23*$B$28</f>
        <v>67920.2839231917</v>
      </c>
      <c r="N28" s="176" t="n">
        <f aca="false">N23*$B$28</f>
        <v>68488.5474202607</v>
      </c>
      <c r="O28" s="176" t="n">
        <f aca="false">O23*$B$28</f>
        <v>69090.9990921831</v>
      </c>
      <c r="P28" s="176" t="n">
        <f aca="false">P23*$B$28</f>
        <v>69729.3483477016</v>
      </c>
      <c r="Q28" s="176" t="n">
        <f aca="false">Q23*$B$28</f>
        <v>69620.5169188657</v>
      </c>
      <c r="R28" s="176" t="n">
        <f aca="false">R23*$B$28</f>
        <v>69512.018918588</v>
      </c>
      <c r="S28" s="204"/>
    </row>
    <row r="29" customFormat="false" ht="12.75" hidden="false" customHeight="false" outlineLevel="0" collapsed="false">
      <c r="A29" s="187"/>
      <c r="B29" s="146"/>
      <c r="D29" s="469"/>
      <c r="E29" s="469"/>
      <c r="F29" s="469"/>
      <c r="G29" s="333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04"/>
    </row>
    <row r="30" customFormat="false" ht="12.75" hidden="false" customHeight="false" outlineLevel="0" collapsed="false">
      <c r="A30" s="348" t="s">
        <v>204</v>
      </c>
      <c r="B30" s="96"/>
      <c r="C30" s="16"/>
      <c r="D30" s="457" t="n">
        <f aca="false">D23-D28</f>
        <v>61134.075</v>
      </c>
      <c r="E30" s="457" t="n">
        <f aca="false">E23-E28</f>
        <v>70721.925</v>
      </c>
      <c r="F30" s="457" t="n">
        <f aca="false">F23-F28</f>
        <v>63643.89</v>
      </c>
      <c r="G30" s="457" t="n">
        <f aca="false">G23-G28</f>
        <v>77179.425</v>
      </c>
      <c r="H30" s="176" t="n">
        <f aca="false">H23-H28</f>
        <v>78696.015</v>
      </c>
      <c r="I30" s="176" t="n">
        <f aca="false">I23-I28</f>
        <v>74449.55685</v>
      </c>
      <c r="J30" s="176" t="n">
        <f aca="false">J23-J28</f>
        <v>84250.18455</v>
      </c>
      <c r="K30" s="176" t="n">
        <f aca="false">K23-K28</f>
        <v>91116.312813</v>
      </c>
      <c r="L30" s="176" t="n">
        <f aca="false">L23-L28</f>
        <v>98281.36016427</v>
      </c>
      <c r="M30" s="176" t="n">
        <f aca="false">M23-M28</f>
        <v>108496.037955228</v>
      </c>
      <c r="N30" s="176" t="n">
        <f aca="false">N23-N28</f>
        <v>109403.783541455</v>
      </c>
      <c r="O30" s="176" t="n">
        <f aca="false">O23-O28</f>
        <v>110366.141406994</v>
      </c>
      <c r="P30" s="176" t="n">
        <f aca="false">P23-P28</f>
        <v>111385.842165809</v>
      </c>
      <c r="Q30" s="176" t="n">
        <f aca="false">Q23-Q28</f>
        <v>111211.994558708</v>
      </c>
      <c r="R30" s="176" t="n">
        <f aca="false">R23-R28</f>
        <v>111038.679571251</v>
      </c>
      <c r="S30" s="477" t="s">
        <v>197</v>
      </c>
    </row>
    <row r="31" customFormat="false" ht="12.75" hidden="false" customHeight="false" outlineLevel="0" collapsed="false">
      <c r="A31" s="187"/>
      <c r="B31" s="146"/>
      <c r="D31" s="470"/>
      <c r="E31" s="470"/>
      <c r="F31" s="470"/>
      <c r="G31" s="310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477" t="s">
        <v>225</v>
      </c>
    </row>
    <row r="32" customFormat="false" ht="12.75" hidden="false" customHeight="false" outlineLevel="0" collapsed="false">
      <c r="A32" s="348" t="s">
        <v>226</v>
      </c>
      <c r="B32" s="146"/>
      <c r="D32" s="478" t="n">
        <f aca="false">D30+D27+D21</f>
        <v>88137.045</v>
      </c>
      <c r="E32" s="478" t="n">
        <f aca="false">E30+E27+E21</f>
        <v>98312.7975</v>
      </c>
      <c r="F32" s="478" t="n">
        <f aca="false">F30+F27+F21</f>
        <v>91945.4925</v>
      </c>
      <c r="G32" s="478" t="n">
        <f aca="false">G30+G27+G21</f>
        <v>106284.7725</v>
      </c>
      <c r="H32" s="184" t="n">
        <f aca="false">H30+H27+H21</f>
        <v>110269.490075</v>
      </c>
      <c r="I32" s="184" t="n">
        <f aca="false">I30+I27+I21</f>
        <v>110208.533725</v>
      </c>
      <c r="J32" s="184" t="n">
        <f aca="false">J30+J27+J21</f>
        <v>122337.3700825</v>
      </c>
      <c r="K32" s="184" t="n">
        <f aca="false">K30+K27+K21</f>
        <v>129978.6652055</v>
      </c>
      <c r="L32" s="184" t="n">
        <f aca="false">L30+L27+L21</f>
        <v>133232.30848377</v>
      </c>
      <c r="M32" s="184" t="n">
        <f aca="false">M30+M27+M21</f>
        <v>140609.372947228</v>
      </c>
      <c r="N32" s="184" t="n">
        <f aca="false">N30+N27+N21</f>
        <v>141891.413253955</v>
      </c>
      <c r="O32" s="184" t="n">
        <f aca="false">O30+O27+O21</f>
        <v>143319.880716994</v>
      </c>
      <c r="P32" s="184" t="n">
        <f aca="false">P30+P27+P21</f>
        <v>141126.558462309</v>
      </c>
      <c r="Q32" s="184" t="n">
        <f aca="false">Q30+Q27+Q21</f>
        <v>141592.995261208</v>
      </c>
      <c r="R32" s="184" t="n">
        <f aca="false">R30+R27+R21</f>
        <v>142059.359767751</v>
      </c>
      <c r="S32" s="477" t="s">
        <v>227</v>
      </c>
    </row>
    <row r="33" customFormat="false" ht="12.75" hidden="false" customHeight="false" outlineLevel="0" collapsed="false">
      <c r="A33" s="348" t="s">
        <v>209</v>
      </c>
      <c r="B33" s="479"/>
      <c r="D33" s="310" t="n">
        <f aca="false">D107</f>
        <v>29989</v>
      </c>
      <c r="E33" s="310" t="n">
        <f aca="false">E107</f>
        <v>18700</v>
      </c>
      <c r="F33" s="310" t="n">
        <f aca="false">F107</f>
        <v>31294</v>
      </c>
      <c r="G33" s="310" t="n">
        <f aca="false">G107</f>
        <v>29549</v>
      </c>
      <c r="H33" s="184" t="n">
        <f aca="false">H107</f>
        <v>68105</v>
      </c>
      <c r="I33" s="184" t="n">
        <f aca="false">I107</f>
        <v>61400</v>
      </c>
      <c r="J33" s="184" t="n">
        <f aca="false">J107</f>
        <v>20000</v>
      </c>
      <c r="K33" s="184" t="n">
        <f aca="false">K107</f>
        <v>20000</v>
      </c>
      <c r="L33" s="184" t="n">
        <f aca="false">L107</f>
        <v>20000</v>
      </c>
      <c r="M33" s="184" t="n">
        <f aca="false">M107</f>
        <v>20000</v>
      </c>
      <c r="N33" s="184" t="n">
        <f aca="false">N107</f>
        <v>20000</v>
      </c>
      <c r="O33" s="184" t="n">
        <f aca="false">O107</f>
        <v>20000</v>
      </c>
      <c r="P33" s="184" t="n">
        <f aca="false">P107</f>
        <v>20000</v>
      </c>
      <c r="Q33" s="184" t="n">
        <f aca="false">Q107</f>
        <v>20000</v>
      </c>
      <c r="R33" s="184" t="n">
        <f aca="false">R107</f>
        <v>20000</v>
      </c>
      <c r="S33" s="480"/>
    </row>
    <row r="34" customFormat="false" ht="12.75" hidden="false" customHeight="false" outlineLevel="0" collapsed="false">
      <c r="A34" s="187"/>
      <c r="B34" s="479"/>
      <c r="D34" s="310"/>
      <c r="E34" s="310"/>
      <c r="F34" s="310"/>
      <c r="G34" s="310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481"/>
    </row>
    <row r="35" customFormat="false" ht="27.75" hidden="false" customHeight="true" outlineLevel="0" collapsed="false">
      <c r="A35" s="482" t="s">
        <v>228</v>
      </c>
      <c r="B35" s="483"/>
      <c r="C35" s="483"/>
      <c r="D35" s="484" t="n">
        <f aca="false">D32-D33</f>
        <v>58148.045</v>
      </c>
      <c r="E35" s="484" t="n">
        <f aca="false">E32-E33</f>
        <v>79612.7975</v>
      </c>
      <c r="F35" s="484" t="n">
        <f aca="false">F32-F33</f>
        <v>60651.4925</v>
      </c>
      <c r="G35" s="484" t="n">
        <f aca="false">G32-G33</f>
        <v>76735.7725</v>
      </c>
      <c r="H35" s="485" t="n">
        <f aca="false">H32-H33</f>
        <v>42164.490075</v>
      </c>
      <c r="I35" s="485" t="n">
        <f aca="false">I32-I33</f>
        <v>48808.533725</v>
      </c>
      <c r="J35" s="485" t="n">
        <f aca="false">J32-J33</f>
        <v>102337.3700825</v>
      </c>
      <c r="K35" s="485" t="n">
        <f aca="false">K32-K33</f>
        <v>109978.6652055</v>
      </c>
      <c r="L35" s="485" t="n">
        <f aca="false">L32-L33</f>
        <v>113232.30848377</v>
      </c>
      <c r="M35" s="485" t="n">
        <f aca="false">M32-M33</f>
        <v>120609.372947228</v>
      </c>
      <c r="N35" s="485" t="n">
        <f aca="false">N32-N33</f>
        <v>121891.413253955</v>
      </c>
      <c r="O35" s="485" t="n">
        <f aca="false">O32-O33</f>
        <v>123319.880716994</v>
      </c>
      <c r="P35" s="485" t="n">
        <f aca="false">P32-P33</f>
        <v>121126.558462309</v>
      </c>
      <c r="Q35" s="485" t="n">
        <f aca="false">Q32-Q33</f>
        <v>121592.995261208</v>
      </c>
      <c r="R35" s="485" t="n">
        <f aca="false">R32-R33+S35</f>
        <v>1871978.9361763</v>
      </c>
      <c r="S35" s="486" t="n">
        <f aca="false">R15*S37</f>
        <v>1749919.57640855</v>
      </c>
    </row>
    <row r="36" customFormat="false" ht="13.5" hidden="false" customHeight="false" outlineLevel="0" collapsed="false">
      <c r="A36" s="341"/>
      <c r="B36" s="16"/>
      <c r="C36" s="16"/>
      <c r="D36" s="1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487"/>
    </row>
    <row r="37" customFormat="false" ht="12.75" hidden="false" customHeight="false" outlineLevel="0" collapsed="false">
      <c r="A37" s="341"/>
      <c r="B37" s="16"/>
      <c r="C37" s="16"/>
      <c r="D37" s="1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488" t="n">
        <f aca="false">Scenarios!C5</f>
        <v>9</v>
      </c>
    </row>
    <row r="38" customFormat="false" ht="12.75" hidden="false" customHeight="false" outlineLevel="0" collapsed="false">
      <c r="A38" s="341"/>
      <c r="B38" s="16"/>
      <c r="C38" s="16"/>
      <c r="D38" s="1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489" t="s">
        <v>229</v>
      </c>
    </row>
    <row r="39" customFormat="false" ht="13.5" hidden="false" customHeight="false" outlineLevel="0" collapsed="false"/>
    <row r="40" customFormat="false" ht="15" hidden="false" customHeight="false" outlineLevel="0" collapsed="false">
      <c r="G40" s="0"/>
      <c r="H40" s="490" t="s">
        <v>181</v>
      </c>
      <c r="I40" s="491" t="str">
        <f aca="false">(Assumptions!D8-1&amp;" EBITDA")</f>
        <v>2001 EBITDA</v>
      </c>
      <c r="J40" s="491" t="s">
        <v>230</v>
      </c>
      <c r="K40" s="492"/>
      <c r="L40" s="493" t="s">
        <v>182</v>
      </c>
      <c r="M40" s="493"/>
      <c r="N40" s="493"/>
      <c r="Q40" s="187"/>
      <c r="R40" s="187"/>
    </row>
    <row r="41" customFormat="false" ht="15" hidden="false" customHeight="false" outlineLevel="0" collapsed="false">
      <c r="G41" s="0"/>
      <c r="H41" s="494" t="s">
        <v>183</v>
      </c>
      <c r="I41" s="495" t="s">
        <v>136</v>
      </c>
      <c r="J41" s="495" t="s">
        <v>231</v>
      </c>
      <c r="K41" s="496"/>
      <c r="L41" s="497" t="n">
        <f aca="false">Asset3Drate-0.025</f>
        <v>0.05</v>
      </c>
      <c r="M41" s="498" t="n">
        <f aca="false">Scenarios!C6</f>
        <v>0.075</v>
      </c>
      <c r="N41" s="499" t="n">
        <f aca="false">Asset3Drate+0.025</f>
        <v>0.1</v>
      </c>
      <c r="Q41" s="187"/>
      <c r="R41" s="187"/>
    </row>
    <row r="42" customFormat="false" ht="12.75" hidden="false" customHeight="false" outlineLevel="0" collapsed="false">
      <c r="G42" s="308" t="s">
        <v>184</v>
      </c>
      <c r="H42" s="369"/>
      <c r="I42" s="500"/>
      <c r="J42" s="500"/>
      <c r="K42" s="370"/>
      <c r="L42" s="370"/>
      <c r="M42" s="370"/>
      <c r="N42" s="372"/>
      <c r="Q42" s="187"/>
      <c r="R42" s="187"/>
    </row>
    <row r="43" customFormat="false" ht="13.5" hidden="false" customHeight="false" outlineLevel="0" collapsed="false">
      <c r="G43" s="0" t="n">
        <f aca="false">IF(ABS(H43-TW_NPV)&lt;0.05,0,1)</f>
        <v>0</v>
      </c>
      <c r="H43" s="501" t="n">
        <v>1584209.80244029</v>
      </c>
      <c r="I43" s="502" t="n">
        <f aca="false">H43/H15</f>
        <v>10.6938599616604</v>
      </c>
      <c r="J43" s="503"/>
      <c r="K43" s="504"/>
      <c r="L43" s="505" t="n">
        <f aca="false">NPV(L41,$I$35:$R$35)</f>
        <v>1910162.35219281</v>
      </c>
      <c r="M43" s="505" t="n">
        <f aca="false">NPV(M41,$I$35:$R$35)</f>
        <v>1584209.80244029</v>
      </c>
      <c r="N43" s="506" t="n">
        <f aca="false">NPV(N41,$I$35:$R$35)</f>
        <v>1325694.22682687</v>
      </c>
      <c r="Q43" s="187"/>
      <c r="R43" s="187"/>
      <c r="S43" s="187"/>
    </row>
    <row r="44" customFormat="false" ht="12.75" hidden="false" customHeight="false" outlineLevel="0" collapsed="false">
      <c r="G44" s="0"/>
      <c r="H44" s="187"/>
      <c r="I44" s="507"/>
      <c r="J44" s="507"/>
      <c r="K44" s="187"/>
      <c r="L44" s="187"/>
      <c r="M44" s="508"/>
      <c r="N44" s="187"/>
      <c r="Q44" s="187"/>
      <c r="R44" s="187"/>
      <c r="S44" s="187"/>
    </row>
    <row r="45" customFormat="false" ht="12.75" hidden="false" customHeight="false" outlineLevel="0" collapsed="false">
      <c r="G45" s="187"/>
      <c r="H45" s="187"/>
      <c r="I45" s="187"/>
      <c r="J45" s="187"/>
      <c r="K45" s="187"/>
      <c r="L45" s="187"/>
      <c r="M45" s="187"/>
      <c r="O45" s="187"/>
      <c r="P45" s="187"/>
      <c r="Q45" s="187"/>
      <c r="R45" s="187"/>
    </row>
    <row r="46" customFormat="false" ht="12.75" hidden="false" customHeight="false" outlineLevel="0" collapsed="false">
      <c r="E46" s="187"/>
      <c r="F46" s="187"/>
      <c r="G46" s="187"/>
      <c r="H46" s="187"/>
      <c r="I46" s="187"/>
      <c r="J46" s="204"/>
      <c r="K46" s="204"/>
      <c r="L46" s="204"/>
      <c r="M46" s="204"/>
      <c r="N46" s="204"/>
      <c r="O46" s="204"/>
      <c r="P46" s="204"/>
      <c r="Q46" s="204"/>
      <c r="R46" s="204"/>
    </row>
    <row r="47" customFormat="false" ht="15.75" hidden="false" customHeight="false" outlineLevel="0" collapsed="false">
      <c r="A47" s="284" t="s">
        <v>232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204"/>
    </row>
    <row r="48" customFormat="false" ht="12.75" hidden="false" customHeight="false" outlineLevel="0" collapsed="false">
      <c r="E48" s="292"/>
      <c r="F48" s="292"/>
      <c r="G48" s="293"/>
      <c r="H48" s="294" t="s">
        <v>156</v>
      </c>
      <c r="I48" s="295"/>
      <c r="J48" s="293"/>
      <c r="K48" s="293"/>
      <c r="L48" s="296"/>
      <c r="M48" s="293"/>
      <c r="N48" s="296"/>
      <c r="O48" s="296"/>
      <c r="P48" s="296"/>
      <c r="Q48" s="296"/>
      <c r="R48" s="75"/>
      <c r="S48" s="204"/>
    </row>
    <row r="49" customFormat="false" ht="12.75" hidden="false" customHeight="false" outlineLevel="0" collapsed="false">
      <c r="D49" s="452" t="n">
        <v>1997</v>
      </c>
      <c r="E49" s="297" t="n">
        <v>1998</v>
      </c>
      <c r="F49" s="297" t="n">
        <v>1999</v>
      </c>
      <c r="G49" s="297" t="n">
        <v>2000</v>
      </c>
      <c r="H49" s="297" t="n">
        <v>2001</v>
      </c>
      <c r="I49" s="298" t="n">
        <v>2002</v>
      </c>
      <c r="J49" s="298" t="n">
        <v>2003</v>
      </c>
      <c r="K49" s="298" t="n">
        <v>2004</v>
      </c>
      <c r="L49" s="298" t="n">
        <v>2005</v>
      </c>
      <c r="M49" s="298" t="n">
        <v>2006</v>
      </c>
      <c r="N49" s="299" t="n">
        <v>2007</v>
      </c>
      <c r="O49" s="299" t="n">
        <v>2008</v>
      </c>
      <c r="P49" s="299" t="n">
        <v>2009</v>
      </c>
      <c r="Q49" s="299" t="n">
        <v>2010</v>
      </c>
      <c r="R49" s="414" t="n">
        <v>2011</v>
      </c>
      <c r="S49" s="204"/>
    </row>
    <row r="50" customFormat="false" ht="12.75" hidden="false" customHeight="false" outlineLevel="0" collapsed="false">
      <c r="B50" s="304" t="s">
        <v>159</v>
      </c>
      <c r="C50" s="509"/>
      <c r="D50" s="509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204"/>
    </row>
    <row r="51" customFormat="false" ht="12.75" hidden="false" customHeight="false" outlineLevel="0" collapsed="false">
      <c r="A51" s="386" t="s">
        <v>233</v>
      </c>
      <c r="B51" s="510" t="n">
        <v>0</v>
      </c>
      <c r="C51" s="509"/>
      <c r="D51" s="511"/>
      <c r="E51" s="511" t="n">
        <f aca="false">$B$51*2606</f>
        <v>0</v>
      </c>
      <c r="F51" s="511" t="n">
        <f aca="false">$B$51*2667</f>
        <v>0</v>
      </c>
      <c r="G51" s="511" t="n">
        <f aca="false">$B$51*2676</f>
        <v>0</v>
      </c>
      <c r="H51" s="157" t="n">
        <f aca="false">$B$51*2*1289</f>
        <v>0</v>
      </c>
      <c r="I51" s="184" t="n">
        <f aca="false">H51*I62</f>
        <v>0</v>
      </c>
      <c r="J51" s="184" t="n">
        <f aca="false">I51*J62</f>
        <v>0</v>
      </c>
      <c r="K51" s="184" t="n">
        <f aca="false">J51*K62</f>
        <v>0</v>
      </c>
      <c r="L51" s="184" t="n">
        <f aca="false">K51*L62</f>
        <v>0</v>
      </c>
      <c r="M51" s="184" t="n">
        <f aca="false">L51*M62</f>
        <v>0</v>
      </c>
      <c r="N51" s="184" t="n">
        <f aca="false">M51*N62</f>
        <v>0</v>
      </c>
      <c r="O51" s="184" t="n">
        <f aca="false">N51*O62</f>
        <v>0</v>
      </c>
      <c r="P51" s="184" t="n">
        <f aca="false">O51*P62</f>
        <v>0</v>
      </c>
      <c r="Q51" s="184" t="n">
        <f aca="false">P51*Q62</f>
        <v>0</v>
      </c>
      <c r="R51" s="184" t="n">
        <f aca="false">Q51*R62</f>
        <v>0</v>
      </c>
      <c r="S51" s="204"/>
    </row>
    <row r="52" customFormat="false" ht="12.75" hidden="false" customHeight="false" outlineLevel="0" collapsed="false">
      <c r="A52" s="512" t="s">
        <v>234</v>
      </c>
      <c r="B52" s="510" t="n">
        <v>0</v>
      </c>
      <c r="C52" s="509"/>
      <c r="D52" s="511"/>
      <c r="E52" s="511" t="n">
        <f aca="false">$B$52*1051</f>
        <v>0</v>
      </c>
      <c r="F52" s="511" t="n">
        <f aca="false">$B$52*1156</f>
        <v>0</v>
      </c>
      <c r="G52" s="511" t="n">
        <f aca="false">$B$52*1196</f>
        <v>0</v>
      </c>
      <c r="H52" s="157" t="n">
        <f aca="false">$B$52*2*779</f>
        <v>0</v>
      </c>
      <c r="I52" s="184" t="n">
        <f aca="false">H52*I63</f>
        <v>0</v>
      </c>
      <c r="J52" s="184" t="n">
        <f aca="false">I52*J63</f>
        <v>0</v>
      </c>
      <c r="K52" s="184" t="n">
        <f aca="false">J52*K63</f>
        <v>0</v>
      </c>
      <c r="L52" s="184" t="n">
        <f aca="false">K52*L63</f>
        <v>0</v>
      </c>
      <c r="M52" s="184" t="n">
        <f aca="false">L52*M63</f>
        <v>0</v>
      </c>
      <c r="N52" s="184" t="n">
        <f aca="false">M52*N63</f>
        <v>0</v>
      </c>
      <c r="O52" s="184" t="n">
        <f aca="false">N52*O63</f>
        <v>0</v>
      </c>
      <c r="P52" s="184" t="n">
        <f aca="false">O52*P63</f>
        <v>0</v>
      </c>
      <c r="Q52" s="184" t="n">
        <f aca="false">P52*Q63</f>
        <v>0</v>
      </c>
      <c r="R52" s="184" t="n">
        <f aca="false">Q52*R63</f>
        <v>0</v>
      </c>
      <c r="S52" s="204"/>
    </row>
    <row r="53" customFormat="false" ht="12.75" hidden="false" customHeight="false" outlineLevel="0" collapsed="false">
      <c r="A53" s="512" t="s">
        <v>243</v>
      </c>
      <c r="B53" s="510" t="n">
        <v>1</v>
      </c>
      <c r="C53" s="509"/>
      <c r="D53" s="511" t="n">
        <v>144495</v>
      </c>
      <c r="E53" s="511" t="n">
        <v>144967</v>
      </c>
      <c r="F53" s="511" t="n">
        <v>141626</v>
      </c>
      <c r="G53" s="511" t="n">
        <v>150290</v>
      </c>
      <c r="H53" s="184" t="n">
        <v>165432</v>
      </c>
      <c r="I53" s="184" t="n">
        <v>170527</v>
      </c>
      <c r="J53" s="184" t="n">
        <f aca="false">I53*J64</f>
        <v>187579.7</v>
      </c>
      <c r="K53" s="184" t="n">
        <f aca="false">J53*K64</f>
        <v>196958.685</v>
      </c>
      <c r="L53" s="184" t="n">
        <f aca="false">K53*L64</f>
        <v>206806.61925</v>
      </c>
      <c r="M53" s="184" t="n">
        <f aca="false">L53*M64</f>
        <v>217146.9502125</v>
      </c>
      <c r="N53" s="184" t="n">
        <f aca="false">M53*N64</f>
        <v>217146.9502125</v>
      </c>
      <c r="O53" s="184" t="n">
        <f aca="false">N53*O64</f>
        <v>217146.9502125</v>
      </c>
      <c r="P53" s="184" t="n">
        <f aca="false">O53*P64</f>
        <v>217146.9502125</v>
      </c>
      <c r="Q53" s="184" t="n">
        <f aca="false">P53*Q64</f>
        <v>217146.9502125</v>
      </c>
      <c r="R53" s="184" t="n">
        <f aca="false">Q53*R64</f>
        <v>217146.9502125</v>
      </c>
      <c r="S53" s="204"/>
    </row>
    <row r="54" customFormat="false" ht="12.75" hidden="false" customHeight="false" outlineLevel="0" collapsed="false">
      <c r="A54" s="386" t="s">
        <v>236</v>
      </c>
      <c r="B54" s="510" t="n">
        <v>0</v>
      </c>
      <c r="C54" s="509"/>
      <c r="D54" s="511"/>
      <c r="E54" s="511" t="n">
        <f aca="false">$B$54*277</f>
        <v>0</v>
      </c>
      <c r="F54" s="511" t="n">
        <f aca="false">$B$54*390</f>
        <v>0</v>
      </c>
      <c r="G54" s="511" t="n">
        <f aca="false">$B$54*500</f>
        <v>0</v>
      </c>
      <c r="H54" s="157" t="n">
        <f aca="false">$B$54*2*216</f>
        <v>0</v>
      </c>
      <c r="I54" s="184" t="n">
        <f aca="false">H54*I65</f>
        <v>0</v>
      </c>
      <c r="J54" s="184" t="n">
        <f aca="false">I54*J65</f>
        <v>0</v>
      </c>
      <c r="K54" s="184" t="n">
        <f aca="false">J54*K65</f>
        <v>0</v>
      </c>
      <c r="L54" s="184" t="n">
        <f aca="false">K54*L65</f>
        <v>0</v>
      </c>
      <c r="M54" s="184" t="n">
        <f aca="false">L54*M65</f>
        <v>0</v>
      </c>
      <c r="N54" s="184" t="n">
        <f aca="false">M54*N65</f>
        <v>0</v>
      </c>
      <c r="O54" s="184" t="n">
        <f aca="false">N54*O65</f>
        <v>0</v>
      </c>
      <c r="P54" s="184" t="n">
        <f aca="false">O54*P65</f>
        <v>0</v>
      </c>
      <c r="Q54" s="184" t="n">
        <f aca="false">P54*Q65</f>
        <v>0</v>
      </c>
      <c r="R54" s="184" t="n">
        <f aca="false">Q54*R65</f>
        <v>0</v>
      </c>
      <c r="S54" s="204"/>
    </row>
    <row r="55" customFormat="false" ht="12.75" hidden="false" customHeight="false" outlineLevel="0" collapsed="false">
      <c r="A55" s="386" t="s">
        <v>237</v>
      </c>
      <c r="B55" s="510" t="n">
        <v>0</v>
      </c>
      <c r="C55" s="509"/>
      <c r="D55" s="511"/>
      <c r="E55" s="511" t="n">
        <f aca="false">$B$55*63</f>
        <v>0</v>
      </c>
      <c r="F55" s="511" t="n">
        <f aca="false">$B$55*98</f>
        <v>0</v>
      </c>
      <c r="G55" s="511" t="n">
        <f aca="false">$B$55*131</f>
        <v>0</v>
      </c>
      <c r="H55" s="157" t="n">
        <f aca="false">$B$55*2*96</f>
        <v>0</v>
      </c>
      <c r="I55" s="184" t="n">
        <f aca="false">H55*I66</f>
        <v>0</v>
      </c>
      <c r="J55" s="184" t="n">
        <f aca="false">I55*J66</f>
        <v>0</v>
      </c>
      <c r="K55" s="184" t="n">
        <f aca="false">J55*K66</f>
        <v>0</v>
      </c>
      <c r="L55" s="184" t="n">
        <f aca="false">K55*L66</f>
        <v>0</v>
      </c>
      <c r="M55" s="184" t="n">
        <f aca="false">L55*M66</f>
        <v>0</v>
      </c>
      <c r="N55" s="184" t="n">
        <f aca="false">M55*N66</f>
        <v>0</v>
      </c>
      <c r="O55" s="184" t="n">
        <f aca="false">N55*O66</f>
        <v>0</v>
      </c>
      <c r="P55" s="184" t="n">
        <f aca="false">O55*P66</f>
        <v>0</v>
      </c>
      <c r="Q55" s="184" t="n">
        <f aca="false">P55*Q66</f>
        <v>0</v>
      </c>
      <c r="R55" s="184" t="n">
        <f aca="false">Q55*R66</f>
        <v>0</v>
      </c>
      <c r="S55" s="204"/>
    </row>
    <row r="56" customFormat="false" ht="12.75" hidden="false" customHeight="false" outlineLevel="0" collapsed="false">
      <c r="A56" s="512" t="s">
        <v>238</v>
      </c>
      <c r="B56" s="510" t="n">
        <v>1</v>
      </c>
      <c r="C56" s="509"/>
      <c r="D56" s="511" t="n">
        <v>3009</v>
      </c>
      <c r="E56" s="511" t="n">
        <v>9489</v>
      </c>
      <c r="F56" s="511" t="n">
        <v>10430</v>
      </c>
      <c r="G56" s="511" t="n">
        <v>26333</v>
      </c>
      <c r="H56" s="184" t="n">
        <f aca="false">26636+10140</f>
        <v>36776</v>
      </c>
      <c r="I56" s="184" t="n">
        <v>30107</v>
      </c>
      <c r="J56" s="184" t="n">
        <f aca="false">I56*J67</f>
        <v>31311.28</v>
      </c>
      <c r="K56" s="184" t="n">
        <f aca="false">J56*K67</f>
        <v>32563.7312</v>
      </c>
      <c r="L56" s="184" t="n">
        <f aca="false">K56*L67</f>
        <v>33866.280448</v>
      </c>
      <c r="M56" s="184" t="n">
        <f aca="false">L56*M67</f>
        <v>35220.93166592</v>
      </c>
      <c r="N56" s="184" t="n">
        <f aca="false">M56*N67</f>
        <v>36981.978249216</v>
      </c>
      <c r="O56" s="184" t="n">
        <f aca="false">N56*O67</f>
        <v>38831.0771616768</v>
      </c>
      <c r="P56" s="184" t="n">
        <f aca="false">O56*P67</f>
        <v>40772.6310197607</v>
      </c>
      <c r="Q56" s="184" t="n">
        <f aca="false">P56*Q67</f>
        <v>40772.6310197607</v>
      </c>
      <c r="R56" s="184" t="n">
        <f aca="false">Q56*R67</f>
        <v>40772.6310197607</v>
      </c>
      <c r="S56" s="204"/>
    </row>
    <row r="57" customFormat="false" ht="12.75" hidden="false" customHeight="false" outlineLevel="0" collapsed="false">
      <c r="A57" s="512" t="s">
        <v>239</v>
      </c>
      <c r="B57" s="510" t="n">
        <v>0</v>
      </c>
      <c r="C57" s="509"/>
      <c r="D57" s="511"/>
      <c r="E57" s="511" t="n">
        <f aca="false">$B$57*30</f>
        <v>0</v>
      </c>
      <c r="F57" s="511" t="n">
        <f aca="false">$B$57*177</f>
        <v>0</v>
      </c>
      <c r="G57" s="511" t="n">
        <f aca="false">$B$57*265</f>
        <v>0</v>
      </c>
      <c r="H57" s="157" t="n">
        <f aca="false">$B$57*2*72</f>
        <v>0</v>
      </c>
      <c r="I57" s="184" t="n">
        <f aca="false">H57*I68</f>
        <v>0</v>
      </c>
      <c r="J57" s="184" t="n">
        <f aca="false">I57*J68</f>
        <v>0</v>
      </c>
      <c r="K57" s="184" t="n">
        <f aca="false">J57*K68</f>
        <v>0</v>
      </c>
      <c r="L57" s="184" t="n">
        <f aca="false">K57*L68</f>
        <v>0</v>
      </c>
      <c r="M57" s="184" t="n">
        <f aca="false">L57*M68</f>
        <v>0</v>
      </c>
      <c r="N57" s="184" t="n">
        <f aca="false">M57*N68</f>
        <v>0</v>
      </c>
      <c r="O57" s="184" t="n">
        <f aca="false">N57*O68</f>
        <v>0</v>
      </c>
      <c r="P57" s="184" t="n">
        <f aca="false">O57*P68</f>
        <v>0</v>
      </c>
      <c r="Q57" s="184" t="n">
        <f aca="false">P57*Q68</f>
        <v>0</v>
      </c>
      <c r="R57" s="184" t="n">
        <f aca="false">Q57*R68</f>
        <v>0</v>
      </c>
      <c r="S57" s="204"/>
    </row>
    <row r="58" customFormat="false" ht="12.75" hidden="false" customHeight="false" outlineLevel="0" collapsed="false">
      <c r="A58" s="513" t="s">
        <v>240</v>
      </c>
      <c r="B58" s="103" t="n">
        <v>1</v>
      </c>
      <c r="C58" s="514"/>
      <c r="D58" s="515" t="n">
        <v>111</v>
      </c>
      <c r="E58" s="515" t="n">
        <v>13137</v>
      </c>
      <c r="F58" s="515" t="n">
        <v>3693</v>
      </c>
      <c r="G58" s="515" t="n">
        <v>190</v>
      </c>
      <c r="H58" s="193" t="n">
        <v>336</v>
      </c>
      <c r="I58" s="193" t="n">
        <v>285</v>
      </c>
      <c r="J58" s="193" t="n">
        <f aca="false">I58*J69</f>
        <v>285</v>
      </c>
      <c r="K58" s="193" t="n">
        <f aca="false">J58*K69</f>
        <v>285</v>
      </c>
      <c r="L58" s="193" t="n">
        <f aca="false">K58*L69</f>
        <v>285</v>
      </c>
      <c r="M58" s="193" t="n">
        <f aca="false">L58*M69</f>
        <v>299.25</v>
      </c>
      <c r="N58" s="193" t="n">
        <f aca="false">M58*N69</f>
        <v>314.2125</v>
      </c>
      <c r="O58" s="193" t="n">
        <f aca="false">N58*O69</f>
        <v>329.923125</v>
      </c>
      <c r="P58" s="193" t="n">
        <f aca="false">O58*P69</f>
        <v>346.41928125</v>
      </c>
      <c r="Q58" s="193" t="n">
        <f aca="false">P58*Q69</f>
        <v>363.7402453125</v>
      </c>
      <c r="R58" s="193" t="n">
        <f aca="false">Q58*R69</f>
        <v>381.927257578125</v>
      </c>
      <c r="S58" s="204"/>
    </row>
    <row r="59" customFormat="false" ht="12.75" hidden="false" customHeight="false" outlineLevel="0" collapsed="false">
      <c r="A59" s="328" t="s">
        <v>241</v>
      </c>
      <c r="B59" s="70"/>
      <c r="C59" s="509"/>
      <c r="D59" s="457" t="n">
        <f aca="false">SUM(D51:D58)</f>
        <v>147615</v>
      </c>
      <c r="E59" s="457" t="n">
        <f aca="false">SUM(E51:E58)</f>
        <v>167593</v>
      </c>
      <c r="F59" s="457" t="n">
        <f aca="false">SUM(F51:F58)</f>
        <v>155749</v>
      </c>
      <c r="G59" s="457" t="n">
        <f aca="false">SUM(G51:G58)</f>
        <v>176813</v>
      </c>
      <c r="H59" s="176" t="n">
        <f aca="false">SUM(H51:H58)</f>
        <v>202544</v>
      </c>
      <c r="I59" s="176" t="n">
        <f aca="false">SUM(I51:I58)</f>
        <v>200919</v>
      </c>
      <c r="J59" s="176" t="n">
        <f aca="false">SUM(J51:J58)</f>
        <v>219175.98</v>
      </c>
      <c r="K59" s="176" t="n">
        <f aca="false">SUM(K51:K58)</f>
        <v>229807.4162</v>
      </c>
      <c r="L59" s="176" t="n">
        <f aca="false">SUM(L51:L58)</f>
        <v>240957.899698</v>
      </c>
      <c r="M59" s="176" t="n">
        <f aca="false">SUM(M51:M58)</f>
        <v>252667.13187842</v>
      </c>
      <c r="N59" s="176" t="n">
        <f aca="false">SUM(N51:N58)</f>
        <v>254443.140961716</v>
      </c>
      <c r="O59" s="176" t="n">
        <f aca="false">SUM(O51:O58)</f>
        <v>256307.950499177</v>
      </c>
      <c r="P59" s="176" t="n">
        <f aca="false">SUM(P51:P58)</f>
        <v>258266.000513511</v>
      </c>
      <c r="Q59" s="176" t="n">
        <f aca="false">SUM(Q51:Q58)</f>
        <v>258283.321477573</v>
      </c>
      <c r="R59" s="176" t="n">
        <f aca="false">SUM(R51:R58)</f>
        <v>258301.508489839</v>
      </c>
      <c r="S59" s="204"/>
    </row>
    <row r="60" customFormat="false" ht="12.75" hidden="false" customHeight="false" outlineLevel="0" collapsed="false">
      <c r="C60" s="509"/>
      <c r="D60" s="509"/>
      <c r="E60" s="516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204"/>
    </row>
    <row r="61" customFormat="false" ht="15.75" hidden="true" customHeight="false" outlineLevel="1" collapsed="false">
      <c r="A61" s="517" t="s">
        <v>242</v>
      </c>
      <c r="B61" s="85"/>
      <c r="C61" s="518"/>
      <c r="D61" s="518"/>
      <c r="E61" s="519"/>
      <c r="F61" s="85"/>
      <c r="G61" s="520"/>
      <c r="H61" s="521"/>
      <c r="I61" s="521"/>
      <c r="J61" s="521"/>
      <c r="K61" s="521"/>
      <c r="L61" s="521"/>
      <c r="M61" s="521"/>
      <c r="N61" s="521"/>
      <c r="O61" s="521"/>
      <c r="P61" s="521"/>
      <c r="Q61" s="521"/>
      <c r="R61" s="521"/>
      <c r="S61" s="290"/>
    </row>
    <row r="62" customFormat="false" ht="12.75" hidden="true" customHeight="false" outlineLevel="1" collapsed="false">
      <c r="A62" s="386" t="s">
        <v>233</v>
      </c>
      <c r="C62" s="509"/>
      <c r="D62" s="509"/>
      <c r="E62" s="516"/>
      <c r="H62" s="90" t="n">
        <v>1.01</v>
      </c>
      <c r="I62" s="90" t="n">
        <v>1.01</v>
      </c>
      <c r="J62" s="90" t="n">
        <v>1.01</v>
      </c>
      <c r="K62" s="90" t="n">
        <v>1.01</v>
      </c>
      <c r="L62" s="90" t="n">
        <v>1.01</v>
      </c>
      <c r="M62" s="90" t="n">
        <v>1.01</v>
      </c>
      <c r="N62" s="90" t="n">
        <v>1.01</v>
      </c>
      <c r="O62" s="90" t="n">
        <v>1.01</v>
      </c>
      <c r="P62" s="90" t="n">
        <v>1.01</v>
      </c>
      <c r="Q62" s="90" t="n">
        <v>1.01</v>
      </c>
      <c r="R62" s="90" t="n">
        <v>1.01</v>
      </c>
      <c r="S62" s="204"/>
    </row>
    <row r="63" customFormat="false" ht="12.75" hidden="true" customHeight="false" outlineLevel="1" collapsed="false">
      <c r="A63" s="512" t="s">
        <v>234</v>
      </c>
      <c r="C63" s="509"/>
      <c r="D63" s="509"/>
      <c r="E63" s="70"/>
      <c r="F63" s="70"/>
      <c r="G63" s="70"/>
      <c r="H63" s="90" t="n">
        <v>1.02</v>
      </c>
      <c r="I63" s="90" t="n">
        <v>1.02</v>
      </c>
      <c r="J63" s="90" t="n">
        <v>1.02</v>
      </c>
      <c r="K63" s="90" t="n">
        <v>1.02</v>
      </c>
      <c r="L63" s="90" t="n">
        <v>1.02</v>
      </c>
      <c r="M63" s="90" t="n">
        <v>1.02</v>
      </c>
      <c r="N63" s="90" t="n">
        <v>1.02</v>
      </c>
      <c r="O63" s="90" t="n">
        <v>1.02</v>
      </c>
      <c r="P63" s="90" t="n">
        <v>1.02</v>
      </c>
      <c r="Q63" s="90" t="n">
        <v>1.02</v>
      </c>
      <c r="R63" s="90" t="n">
        <v>1.02</v>
      </c>
      <c r="S63" s="204"/>
    </row>
    <row r="64" customFormat="false" ht="12.75" hidden="true" customHeight="false" outlineLevel="1" collapsed="false">
      <c r="A64" s="512" t="s">
        <v>243</v>
      </c>
      <c r="C64" s="509"/>
      <c r="D64" s="522"/>
      <c r="E64" s="70" t="n">
        <f aca="false">E53/D53</f>
        <v>1.00326654901554</v>
      </c>
      <c r="F64" s="70" t="n">
        <f aca="false">F53/E53</f>
        <v>0.976953375595825</v>
      </c>
      <c r="G64" s="70" t="n">
        <f aca="false">G53/F53</f>
        <v>1.06117520794204</v>
      </c>
      <c r="H64" s="90" t="n">
        <v>1.07</v>
      </c>
      <c r="I64" s="90" t="n">
        <f aca="false">H64</f>
        <v>1.07</v>
      </c>
      <c r="J64" s="90" t="n">
        <v>1.1</v>
      </c>
      <c r="K64" s="90" t="n">
        <v>1.05</v>
      </c>
      <c r="L64" s="90" t="n">
        <f aca="false">K64</f>
        <v>1.05</v>
      </c>
      <c r="M64" s="90" t="n">
        <f aca="false">L64</f>
        <v>1.05</v>
      </c>
      <c r="N64" s="90" t="n">
        <v>1</v>
      </c>
      <c r="O64" s="90" t="n">
        <f aca="false">N64</f>
        <v>1</v>
      </c>
      <c r="P64" s="90" t="n">
        <f aca="false">O64</f>
        <v>1</v>
      </c>
      <c r="Q64" s="90" t="n">
        <f aca="false">P64</f>
        <v>1</v>
      </c>
      <c r="R64" s="90" t="n">
        <f aca="false">Q64</f>
        <v>1</v>
      </c>
      <c r="S64" s="204"/>
    </row>
    <row r="65" customFormat="false" ht="12.75" hidden="true" customHeight="false" outlineLevel="1" collapsed="false">
      <c r="A65" s="386" t="s">
        <v>236</v>
      </c>
      <c r="C65" s="509"/>
      <c r="D65" s="509"/>
      <c r="E65" s="70"/>
      <c r="F65" s="70"/>
      <c r="G65" s="70"/>
      <c r="H65" s="90" t="n">
        <v>1.02</v>
      </c>
      <c r="I65" s="90" t="n">
        <v>1.02</v>
      </c>
      <c r="J65" s="90" t="n">
        <v>1.02</v>
      </c>
      <c r="K65" s="90" t="n">
        <v>1.02</v>
      </c>
      <c r="L65" s="90" t="n">
        <v>1.02</v>
      </c>
      <c r="M65" s="90" t="n">
        <v>1.02</v>
      </c>
      <c r="N65" s="90" t="n">
        <v>1.02</v>
      </c>
      <c r="O65" s="90" t="n">
        <v>1.02</v>
      </c>
      <c r="P65" s="90" t="n">
        <v>1.02</v>
      </c>
      <c r="Q65" s="90" t="n">
        <v>1.02</v>
      </c>
      <c r="R65" s="90" t="n">
        <v>1.02</v>
      </c>
      <c r="S65" s="204"/>
    </row>
    <row r="66" customFormat="false" ht="12.75" hidden="true" customHeight="false" outlineLevel="1" collapsed="false">
      <c r="A66" s="386" t="s">
        <v>244</v>
      </c>
      <c r="C66" s="509"/>
      <c r="D66" s="509"/>
      <c r="E66" s="70"/>
      <c r="F66" s="70"/>
      <c r="G66" s="70"/>
      <c r="H66" s="90" t="n">
        <v>1.03</v>
      </c>
      <c r="I66" s="90" t="n">
        <v>1.03</v>
      </c>
      <c r="J66" s="90" t="n">
        <v>1.03</v>
      </c>
      <c r="K66" s="90" t="n">
        <v>1.03</v>
      </c>
      <c r="L66" s="90" t="n">
        <v>1.03</v>
      </c>
      <c r="M66" s="90" t="n">
        <v>1.03</v>
      </c>
      <c r="N66" s="90" t="n">
        <v>1.03</v>
      </c>
      <c r="O66" s="90" t="n">
        <v>1.03</v>
      </c>
      <c r="P66" s="90" t="n">
        <v>1.03</v>
      </c>
      <c r="Q66" s="90" t="n">
        <v>1.03</v>
      </c>
      <c r="R66" s="90" t="n">
        <v>1.03</v>
      </c>
      <c r="S66" s="204"/>
    </row>
    <row r="67" customFormat="false" ht="12.75" hidden="true" customHeight="false" outlineLevel="1" collapsed="false">
      <c r="A67" s="512" t="str">
        <f aca="false">A56</f>
        <v>Gas and Liquids Sold</v>
      </c>
      <c r="C67" s="509"/>
      <c r="D67" s="509"/>
      <c r="E67" s="70" t="n">
        <f aca="false">E56/D56</f>
        <v>3.15353938185444</v>
      </c>
      <c r="F67" s="70" t="n">
        <f aca="false">F56/E56</f>
        <v>1.09916745705554</v>
      </c>
      <c r="G67" s="70" t="n">
        <f aca="false">G56/F56</f>
        <v>2.52473633748802</v>
      </c>
      <c r="H67" s="90" t="n">
        <v>1.04</v>
      </c>
      <c r="I67" s="90" t="n">
        <f aca="false">H67</f>
        <v>1.04</v>
      </c>
      <c r="J67" s="90" t="n">
        <f aca="false">I67</f>
        <v>1.04</v>
      </c>
      <c r="K67" s="90" t="n">
        <f aca="false">J67</f>
        <v>1.04</v>
      </c>
      <c r="L67" s="90" t="n">
        <f aca="false">K67</f>
        <v>1.04</v>
      </c>
      <c r="M67" s="90" t="n">
        <f aca="false">L67</f>
        <v>1.04</v>
      </c>
      <c r="N67" s="90" t="n">
        <v>1.05</v>
      </c>
      <c r="O67" s="90" t="n">
        <v>1.05</v>
      </c>
      <c r="P67" s="90" t="n">
        <v>1.05</v>
      </c>
      <c r="Q67" s="90" t="n">
        <v>1</v>
      </c>
      <c r="R67" s="90" t="n">
        <v>1</v>
      </c>
      <c r="S67" s="204"/>
    </row>
    <row r="68" customFormat="false" ht="12.75" hidden="true" customHeight="false" outlineLevel="1" collapsed="false">
      <c r="A68" s="512" t="s">
        <v>239</v>
      </c>
      <c r="C68" s="509"/>
      <c r="D68" s="509"/>
      <c r="E68" s="70"/>
      <c r="F68" s="70"/>
      <c r="G68" s="70"/>
      <c r="H68" s="90" t="n">
        <v>1.01</v>
      </c>
      <c r="I68" s="90" t="n">
        <v>1.01</v>
      </c>
      <c r="J68" s="90" t="n">
        <v>1.01</v>
      </c>
      <c r="K68" s="90" t="n">
        <v>1.01</v>
      </c>
      <c r="L68" s="90" t="n">
        <v>1.01</v>
      </c>
      <c r="M68" s="90" t="n">
        <v>1.01</v>
      </c>
      <c r="N68" s="90" t="n">
        <v>1.01</v>
      </c>
      <c r="O68" s="90" t="n">
        <v>1.01</v>
      </c>
      <c r="P68" s="90" t="n">
        <v>1.01</v>
      </c>
      <c r="Q68" s="90" t="n">
        <v>1.01</v>
      </c>
      <c r="R68" s="90" t="n">
        <v>1.01</v>
      </c>
      <c r="S68" s="204"/>
    </row>
    <row r="69" customFormat="false" ht="12.75" hidden="true" customHeight="false" outlineLevel="1" collapsed="false">
      <c r="A69" s="454" t="s">
        <v>240</v>
      </c>
      <c r="C69" s="509"/>
      <c r="D69" s="509"/>
      <c r="E69" s="70" t="n">
        <f aca="false">E58/D58</f>
        <v>118.351351351351</v>
      </c>
      <c r="F69" s="70" t="n">
        <f aca="false">F58/E58</f>
        <v>0.281114409682576</v>
      </c>
      <c r="G69" s="70" t="n">
        <f aca="false">G58/F58</f>
        <v>0.0514486867045762</v>
      </c>
      <c r="H69" s="90" t="n">
        <v>5</v>
      </c>
      <c r="I69" s="90" t="n">
        <v>1</v>
      </c>
      <c r="J69" s="90" t="n">
        <f aca="false">I69</f>
        <v>1</v>
      </c>
      <c r="K69" s="90" t="n">
        <f aca="false">J69</f>
        <v>1</v>
      </c>
      <c r="L69" s="90" t="n">
        <f aca="false">K69</f>
        <v>1</v>
      </c>
      <c r="M69" s="90" t="n">
        <v>1.05</v>
      </c>
      <c r="N69" s="90" t="n">
        <v>1.05</v>
      </c>
      <c r="O69" s="90" t="n">
        <v>1.05</v>
      </c>
      <c r="P69" s="90" t="n">
        <v>1.05</v>
      </c>
      <c r="Q69" s="90" t="n">
        <v>1.05</v>
      </c>
      <c r="R69" s="90" t="n">
        <v>1.05</v>
      </c>
      <c r="S69" s="204"/>
    </row>
    <row r="70" customFormat="false" ht="12.75" hidden="true" customHeight="false" outlineLevel="1" collapsed="false">
      <c r="S70" s="204"/>
    </row>
    <row r="71" customFormat="false" ht="12.75" hidden="true" customHeight="false" outlineLevel="1" collapsed="false">
      <c r="S71" s="204"/>
    </row>
    <row r="72" customFormat="false" ht="15.75" hidden="false" customHeight="false" outlineLevel="0" collapsed="false">
      <c r="A72" s="284" t="s">
        <v>245</v>
      </c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204"/>
    </row>
    <row r="73" customFormat="false" ht="14.25" hidden="false" customHeight="true" outlineLevel="0" collapsed="false">
      <c r="A73" s="288"/>
      <c r="B73" s="204"/>
      <c r="C73" s="204"/>
      <c r="D73" s="204"/>
      <c r="E73" s="292"/>
      <c r="F73" s="292"/>
      <c r="G73" s="293"/>
      <c r="H73" s="294" t="s">
        <v>156</v>
      </c>
      <c r="I73" s="295"/>
      <c r="J73" s="293"/>
      <c r="K73" s="293"/>
      <c r="L73" s="296"/>
      <c r="M73" s="293"/>
      <c r="N73" s="296"/>
      <c r="O73" s="296"/>
      <c r="P73" s="296"/>
      <c r="Q73" s="296"/>
      <c r="R73" s="75"/>
      <c r="S73" s="204"/>
    </row>
    <row r="74" customFormat="false" ht="15.75" hidden="false" customHeight="false" outlineLevel="0" collapsed="false">
      <c r="A74" s="288"/>
      <c r="B74" s="304" t="s">
        <v>159</v>
      </c>
      <c r="C74" s="204"/>
      <c r="D74" s="452" t="n">
        <v>1997</v>
      </c>
      <c r="E74" s="297" t="n">
        <v>1998</v>
      </c>
      <c r="F74" s="297" t="n">
        <v>1999</v>
      </c>
      <c r="G74" s="297" t="n">
        <v>2000</v>
      </c>
      <c r="H74" s="297" t="n">
        <v>2001</v>
      </c>
      <c r="I74" s="298" t="n">
        <v>2002</v>
      </c>
      <c r="J74" s="298" t="n">
        <v>2003</v>
      </c>
      <c r="K74" s="298" t="n">
        <v>2004</v>
      </c>
      <c r="L74" s="298" t="n">
        <v>2005</v>
      </c>
      <c r="M74" s="298" t="n">
        <v>2006</v>
      </c>
      <c r="N74" s="299" t="n">
        <v>2007</v>
      </c>
      <c r="O74" s="299" t="n">
        <v>2008</v>
      </c>
      <c r="P74" s="299" t="n">
        <v>2009</v>
      </c>
      <c r="Q74" s="299" t="n">
        <v>2010</v>
      </c>
      <c r="R74" s="300" t="n">
        <v>2011</v>
      </c>
      <c r="S74" s="204"/>
    </row>
    <row r="75" customFormat="false" ht="12.75" hidden="false" customHeight="false" outlineLevel="0" collapsed="false">
      <c r="A75" s="386" t="s">
        <v>246</v>
      </c>
      <c r="B75" s="510" t="n">
        <v>0</v>
      </c>
      <c r="C75" s="16"/>
      <c r="D75" s="511"/>
      <c r="E75" s="511" t="n">
        <f aca="false">$B$75*359</f>
        <v>0</v>
      </c>
      <c r="F75" s="511" t="n">
        <f aca="false">$B$75*406</f>
        <v>0</v>
      </c>
      <c r="G75" s="511" t="n">
        <f aca="false">$B$75*408</f>
        <v>0</v>
      </c>
      <c r="H75" s="157" t="n">
        <f aca="false">$B$75*2*171</f>
        <v>0</v>
      </c>
      <c r="I75" s="184" t="n">
        <f aca="false">H75*I86</f>
        <v>0</v>
      </c>
      <c r="J75" s="184" t="n">
        <f aca="false">I75*J86</f>
        <v>0</v>
      </c>
      <c r="K75" s="184" t="n">
        <f aca="false">J75*K86</f>
        <v>0</v>
      </c>
      <c r="L75" s="184" t="n">
        <f aca="false">K75*L86</f>
        <v>0</v>
      </c>
      <c r="M75" s="184" t="n">
        <f aca="false">L75*M86</f>
        <v>0</v>
      </c>
      <c r="N75" s="184" t="n">
        <f aca="false">M75*N86</f>
        <v>0</v>
      </c>
      <c r="O75" s="184" t="n">
        <f aca="false">N75*O86</f>
        <v>0</v>
      </c>
      <c r="P75" s="184" t="n">
        <f aca="false">O75*P86</f>
        <v>0</v>
      </c>
      <c r="Q75" s="184" t="n">
        <f aca="false">P75*Q86</f>
        <v>0</v>
      </c>
      <c r="R75" s="184" t="n">
        <f aca="false">Q75*R86</f>
        <v>0</v>
      </c>
      <c r="S75" s="204"/>
    </row>
    <row r="76" customFormat="false" ht="12.75" hidden="false" customHeight="false" outlineLevel="0" collapsed="false">
      <c r="A76" s="523" t="s">
        <v>247</v>
      </c>
      <c r="B76" s="510" t="n">
        <v>0</v>
      </c>
      <c r="C76" s="16"/>
      <c r="D76" s="511"/>
      <c r="E76" s="511" t="n">
        <f aca="false">$B$76*287</f>
        <v>0</v>
      </c>
      <c r="F76" s="511" t="n">
        <f aca="false">$B$76*108</f>
        <v>0</v>
      </c>
      <c r="G76" s="511" t="n">
        <f aca="false">$B$76*1457</f>
        <v>0</v>
      </c>
      <c r="H76" s="157" t="n">
        <f aca="false">$B$76*2*2999</f>
        <v>0</v>
      </c>
      <c r="I76" s="184" t="n">
        <f aca="false">H76*I87</f>
        <v>0</v>
      </c>
      <c r="J76" s="184" t="n">
        <f aca="false">I76*J87</f>
        <v>0</v>
      </c>
      <c r="K76" s="184" t="n">
        <f aca="false">J76*K87</f>
        <v>0</v>
      </c>
      <c r="L76" s="184" t="n">
        <f aca="false">K76*L87</f>
        <v>0</v>
      </c>
      <c r="M76" s="184" t="n">
        <f aca="false">L76*M87</f>
        <v>0</v>
      </c>
      <c r="N76" s="184" t="n">
        <f aca="false">M76*N87</f>
        <v>0</v>
      </c>
      <c r="O76" s="184" t="n">
        <f aca="false">N76*O87</f>
        <v>0</v>
      </c>
      <c r="P76" s="184" t="n">
        <f aca="false">O76*P87</f>
        <v>0</v>
      </c>
      <c r="Q76" s="184" t="n">
        <f aca="false">P76*Q87</f>
        <v>0</v>
      </c>
      <c r="R76" s="184" t="n">
        <f aca="false">Q76*R87</f>
        <v>0</v>
      </c>
      <c r="S76" s="204"/>
    </row>
    <row r="77" customFormat="false" ht="12.75" hidden="false" customHeight="false" outlineLevel="0" collapsed="false">
      <c r="A77" s="386" t="s">
        <v>248</v>
      </c>
      <c r="B77" s="510" t="n">
        <v>0</v>
      </c>
      <c r="C77" s="16"/>
      <c r="D77" s="511"/>
      <c r="E77" s="511" t="n">
        <f aca="false">$B$77*297</f>
        <v>0</v>
      </c>
      <c r="F77" s="511" t="n">
        <f aca="false">$B$77*401</f>
        <v>0</v>
      </c>
      <c r="G77" s="511" t="n">
        <f aca="false">$B$77*529</f>
        <v>0</v>
      </c>
      <c r="H77" s="157" t="n">
        <f aca="false">$B$77*2*266</f>
        <v>0</v>
      </c>
      <c r="I77" s="184" t="n">
        <f aca="false">H77*I88</f>
        <v>0</v>
      </c>
      <c r="J77" s="184" t="n">
        <f aca="false">I77*J88</f>
        <v>0</v>
      </c>
      <c r="K77" s="184" t="n">
        <f aca="false">J77*K88</f>
        <v>0</v>
      </c>
      <c r="L77" s="184" t="n">
        <f aca="false">K77*L88</f>
        <v>0</v>
      </c>
      <c r="M77" s="184" t="n">
        <f aca="false">L77*M88</f>
        <v>0</v>
      </c>
      <c r="N77" s="184" t="n">
        <f aca="false">M77*N88</f>
        <v>0</v>
      </c>
      <c r="O77" s="184" t="n">
        <f aca="false">N77*O88</f>
        <v>0</v>
      </c>
      <c r="P77" s="184" t="n">
        <f aca="false">O77*P88</f>
        <v>0</v>
      </c>
      <c r="Q77" s="184" t="n">
        <f aca="false">P77*Q88</f>
        <v>0</v>
      </c>
      <c r="R77" s="184" t="n">
        <f aca="false">Q77*R88</f>
        <v>0</v>
      </c>
      <c r="S77" s="204"/>
    </row>
    <row r="78" customFormat="false" ht="12.75" hidden="false" customHeight="false" outlineLevel="0" collapsed="false">
      <c r="A78" s="386" t="s">
        <v>249</v>
      </c>
      <c r="B78" s="510" t="n">
        <v>0</v>
      </c>
      <c r="C78" s="16"/>
      <c r="D78" s="511"/>
      <c r="E78" s="511" t="n">
        <f aca="false">$B$78*573</f>
        <v>0</v>
      </c>
      <c r="F78" s="511" t="n">
        <f aca="false">$B$78*560</f>
        <v>0</v>
      </c>
      <c r="G78" s="511" t="n">
        <f aca="false">$B$78*555</f>
        <v>0</v>
      </c>
      <c r="H78" s="157" t="n">
        <f aca="false">$B$78*2*244</f>
        <v>0</v>
      </c>
      <c r="I78" s="184" t="n">
        <f aca="false">H78*I89</f>
        <v>0</v>
      </c>
      <c r="J78" s="184" t="n">
        <f aca="false">I78*J89</f>
        <v>0</v>
      </c>
      <c r="K78" s="184" t="n">
        <f aca="false">J78*K89</f>
        <v>0</v>
      </c>
      <c r="L78" s="184" t="n">
        <f aca="false">K78*L89</f>
        <v>0</v>
      </c>
      <c r="M78" s="184" t="n">
        <f aca="false">L78*M89</f>
        <v>0</v>
      </c>
      <c r="N78" s="184" t="n">
        <f aca="false">M78*N89</f>
        <v>0</v>
      </c>
      <c r="O78" s="184" t="n">
        <f aca="false">N78*O89</f>
        <v>0</v>
      </c>
      <c r="P78" s="184" t="n">
        <f aca="false">O78*P89</f>
        <v>0</v>
      </c>
      <c r="Q78" s="184" t="n">
        <f aca="false">P78*Q89</f>
        <v>0</v>
      </c>
      <c r="R78" s="184" t="n">
        <f aca="false">Q78*R89</f>
        <v>0</v>
      </c>
      <c r="S78" s="204"/>
    </row>
    <row r="79" customFormat="false" ht="12.75" hidden="false" customHeight="false" outlineLevel="0" collapsed="false">
      <c r="A79" s="512" t="s">
        <v>250</v>
      </c>
      <c r="B79" s="510" t="n">
        <v>0</v>
      </c>
      <c r="C79" s="16"/>
      <c r="D79" s="511" t="n">
        <v>0</v>
      </c>
      <c r="E79" s="511" t="n">
        <v>0</v>
      </c>
      <c r="F79" s="511" t="n">
        <v>0</v>
      </c>
      <c r="G79" s="511" t="n">
        <v>0</v>
      </c>
      <c r="H79" s="158" t="n">
        <f aca="false">G79*H90</f>
        <v>0</v>
      </c>
      <c r="I79" s="184" t="n">
        <f aca="false">H79*I90</f>
        <v>0</v>
      </c>
      <c r="J79" s="184" t="n">
        <f aca="false">I79*J90</f>
        <v>0</v>
      </c>
      <c r="K79" s="184" t="n">
        <f aca="false">J79*K90</f>
        <v>0</v>
      </c>
      <c r="L79" s="184" t="n">
        <f aca="false">K79*L90</f>
        <v>0</v>
      </c>
      <c r="M79" s="184" t="n">
        <f aca="false">L79*M90</f>
        <v>0</v>
      </c>
      <c r="N79" s="184" t="n">
        <f aca="false">M79*N90</f>
        <v>0</v>
      </c>
      <c r="O79" s="184" t="n">
        <f aca="false">N79*O90</f>
        <v>0</v>
      </c>
      <c r="P79" s="184" t="n">
        <f aca="false">O79*P90</f>
        <v>0</v>
      </c>
      <c r="Q79" s="184" t="n">
        <f aca="false">P79*Q90</f>
        <v>0</v>
      </c>
      <c r="R79" s="184" t="n">
        <f aca="false">Q79*R90</f>
        <v>0</v>
      </c>
      <c r="S79" s="204"/>
    </row>
    <row r="80" customFormat="false" ht="12.75" hidden="false" customHeight="false" outlineLevel="0" collapsed="false">
      <c r="A80" s="386" t="s">
        <v>272</v>
      </c>
      <c r="B80" s="510" t="n">
        <v>0</v>
      </c>
      <c r="C80" s="16"/>
      <c r="D80" s="511"/>
      <c r="E80" s="511" t="n">
        <f aca="false">$B$80*31884</f>
        <v>0</v>
      </c>
      <c r="F80" s="511" t="n">
        <f aca="false">$B$80*29637</f>
        <v>0</v>
      </c>
      <c r="G80" s="511" t="n">
        <f aca="false">$B$80*29231</f>
        <v>0</v>
      </c>
      <c r="H80" s="184" t="n">
        <f aca="false">G80*H91</f>
        <v>0</v>
      </c>
      <c r="I80" s="184" t="n">
        <f aca="false">H80*I91</f>
        <v>0</v>
      </c>
      <c r="J80" s="184" t="n">
        <f aca="false">I80*J91</f>
        <v>0</v>
      </c>
      <c r="K80" s="184" t="n">
        <f aca="false">J80*K91</f>
        <v>0</v>
      </c>
      <c r="L80" s="184" t="n">
        <f aca="false">K80*L91</f>
        <v>0</v>
      </c>
      <c r="M80" s="184" t="n">
        <f aca="false">L80*M91</f>
        <v>0</v>
      </c>
      <c r="N80" s="184" t="n">
        <f aca="false">M80*N91</f>
        <v>0</v>
      </c>
      <c r="O80" s="184" t="n">
        <f aca="false">N80*O91</f>
        <v>0</v>
      </c>
      <c r="P80" s="184" t="n">
        <f aca="false">O80*P91</f>
        <v>0</v>
      </c>
      <c r="Q80" s="184" t="n">
        <f aca="false">P80*Q91</f>
        <v>0</v>
      </c>
      <c r="R80" s="184" t="n">
        <f aca="false">Q80*R91</f>
        <v>0</v>
      </c>
      <c r="S80" s="204"/>
    </row>
    <row r="81" customFormat="false" ht="12.75" hidden="false" customHeight="false" outlineLevel="0" collapsed="false">
      <c r="A81" s="386" t="s">
        <v>252</v>
      </c>
      <c r="B81" s="510" t="n">
        <v>1</v>
      </c>
      <c r="C81" s="16"/>
      <c r="D81" s="511" t="n">
        <f aca="false">2337+32702</f>
        <v>35039</v>
      </c>
      <c r="E81" s="511" t="n">
        <f aca="false">6412+27202</f>
        <v>33614</v>
      </c>
      <c r="F81" s="511" t="n">
        <v>38311</v>
      </c>
      <c r="G81" s="511" t="n">
        <v>39601</v>
      </c>
      <c r="H81" s="157" t="n">
        <v>43310</v>
      </c>
      <c r="I81" s="184" t="n">
        <v>53037</v>
      </c>
      <c r="J81" s="184" t="n">
        <f aca="false">I81*J92</f>
        <v>53037</v>
      </c>
      <c r="K81" s="184" t="n">
        <f aca="false">J81*K92</f>
        <v>53037</v>
      </c>
      <c r="L81" s="184" t="n">
        <f aca="false">K81*L92</f>
        <v>53037</v>
      </c>
      <c r="M81" s="184" t="n">
        <f aca="false">L81*M92</f>
        <v>53037</v>
      </c>
      <c r="N81" s="184" t="n">
        <f aca="false">M81*N92</f>
        <v>53037</v>
      </c>
      <c r="O81" s="184" t="n">
        <f aca="false">N81*O92</f>
        <v>53037</v>
      </c>
      <c r="P81" s="184" t="n">
        <f aca="false">O81*P92</f>
        <v>53037</v>
      </c>
      <c r="Q81" s="184" t="n">
        <f aca="false">P81*Q92</f>
        <v>53037</v>
      </c>
      <c r="R81" s="184" t="n">
        <f aca="false">Q81*R92</f>
        <v>53037</v>
      </c>
      <c r="S81" s="204"/>
    </row>
    <row r="82" customFormat="false" ht="12.75" hidden="false" customHeight="false" outlineLevel="0" collapsed="false">
      <c r="A82" s="524" t="s">
        <v>253</v>
      </c>
      <c r="B82" s="103" t="n">
        <v>1</v>
      </c>
      <c r="C82" s="75"/>
      <c r="D82" s="515" t="n">
        <v>6180</v>
      </c>
      <c r="E82" s="515" t="n">
        <v>11027</v>
      </c>
      <c r="F82" s="515" t="n">
        <v>10849</v>
      </c>
      <c r="G82" s="515" t="n">
        <v>11163</v>
      </c>
      <c r="H82" s="193" t="n">
        <v>11092</v>
      </c>
      <c r="I82" s="193" t="n">
        <v>10829</v>
      </c>
      <c r="J82" s="193" t="n">
        <f aca="false">I82*J93</f>
        <v>10829</v>
      </c>
      <c r="K82" s="193" t="n">
        <f aca="false">J82*K93</f>
        <v>10829</v>
      </c>
      <c r="L82" s="193" t="n">
        <f aca="false">K82*L93</f>
        <v>10829</v>
      </c>
      <c r="M82" s="193" t="n">
        <f aca="false">L82*M93</f>
        <v>10829</v>
      </c>
      <c r="N82" s="193" t="n">
        <f aca="false">M82*N93</f>
        <v>10829</v>
      </c>
      <c r="O82" s="193" t="n">
        <f aca="false">N82*O93</f>
        <v>10829</v>
      </c>
      <c r="P82" s="193" t="n">
        <f aca="false">O82*P93</f>
        <v>10829</v>
      </c>
      <c r="Q82" s="193" t="n">
        <f aca="false">P82*Q93</f>
        <v>10829</v>
      </c>
      <c r="R82" s="193" t="n">
        <f aca="false">Q82*R93</f>
        <v>10829</v>
      </c>
      <c r="S82" s="204"/>
    </row>
    <row r="83" customFormat="false" ht="12.75" hidden="false" customHeight="false" outlineLevel="0" collapsed="false">
      <c r="A83" s="328" t="s">
        <v>254</v>
      </c>
      <c r="B83" s="209"/>
      <c r="C83" s="509"/>
      <c r="D83" s="457" t="n">
        <f aca="false">SUM(D75:D82)</f>
        <v>41219</v>
      </c>
      <c r="E83" s="457" t="n">
        <f aca="false">SUM(E75:E82)</f>
        <v>44641</v>
      </c>
      <c r="F83" s="457" t="n">
        <f aca="false">SUM(F75:F82)</f>
        <v>49160</v>
      </c>
      <c r="G83" s="457" t="n">
        <f aca="false">SUM(G75:G82)</f>
        <v>50764</v>
      </c>
      <c r="H83" s="176" t="n">
        <f aca="false">SUM(H75:H82)</f>
        <v>54402</v>
      </c>
      <c r="I83" s="176" t="n">
        <f aca="false">SUM(I75:I82)</f>
        <v>63866</v>
      </c>
      <c r="J83" s="176" t="n">
        <f aca="false">SUM(J75:J82)</f>
        <v>63866</v>
      </c>
      <c r="K83" s="176" t="n">
        <f aca="false">SUM(K75:K82)</f>
        <v>63866</v>
      </c>
      <c r="L83" s="176" t="n">
        <f aca="false">SUM(L75:L82)</f>
        <v>63866</v>
      </c>
      <c r="M83" s="176" t="n">
        <f aca="false">SUM(M75:M82)</f>
        <v>63866</v>
      </c>
      <c r="N83" s="176" t="n">
        <f aca="false">SUM(N75:N82)</f>
        <v>63866</v>
      </c>
      <c r="O83" s="176" t="n">
        <f aca="false">SUM(O75:O82)</f>
        <v>63866</v>
      </c>
      <c r="P83" s="176" t="n">
        <f aca="false">SUM(P75:P82)</f>
        <v>63866</v>
      </c>
      <c r="Q83" s="176" t="n">
        <f aca="false">SUM(Q75:Q82)</f>
        <v>63866</v>
      </c>
      <c r="R83" s="176" t="n">
        <f aca="false">SUM(R75:R82)</f>
        <v>63866</v>
      </c>
      <c r="S83" s="204"/>
    </row>
    <row r="84" customFormat="false" ht="12.75" hidden="false" customHeight="false" outlineLevel="0" collapsed="false">
      <c r="C84" s="16"/>
      <c r="D84" s="16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204"/>
    </row>
    <row r="85" customFormat="false" ht="15.75" hidden="true" customHeight="false" outlineLevel="1" collapsed="false">
      <c r="A85" s="517" t="s">
        <v>242</v>
      </c>
      <c r="B85" s="85"/>
      <c r="C85" s="518"/>
      <c r="D85" s="518"/>
      <c r="E85" s="519"/>
      <c r="F85" s="85"/>
      <c r="G85" s="520"/>
      <c r="H85" s="521"/>
      <c r="I85" s="521"/>
      <c r="J85" s="521"/>
      <c r="K85" s="521"/>
      <c r="L85" s="521"/>
      <c r="M85" s="521"/>
      <c r="N85" s="521"/>
      <c r="O85" s="521"/>
      <c r="P85" s="521"/>
      <c r="Q85" s="521"/>
      <c r="R85" s="521"/>
      <c r="S85" s="290"/>
    </row>
    <row r="86" customFormat="false" ht="12.75" hidden="true" customHeight="false" outlineLevel="1" collapsed="false">
      <c r="A86" s="386" t="s">
        <v>246</v>
      </c>
      <c r="C86" s="509"/>
      <c r="D86" s="509"/>
      <c r="E86" s="516"/>
      <c r="H86" s="90" t="n">
        <v>1.01</v>
      </c>
      <c r="I86" s="90" t="n">
        <v>1.01</v>
      </c>
      <c r="J86" s="90" t="n">
        <v>1.01</v>
      </c>
      <c r="K86" s="90" t="n">
        <v>1.01</v>
      </c>
      <c r="L86" s="90" t="n">
        <v>1.01</v>
      </c>
      <c r="M86" s="90" t="n">
        <v>1.01</v>
      </c>
      <c r="N86" s="90" t="n">
        <v>1.01</v>
      </c>
      <c r="O86" s="90" t="n">
        <v>1.01</v>
      </c>
      <c r="P86" s="90" t="n">
        <v>1.01</v>
      </c>
      <c r="Q86" s="90" t="n">
        <v>1.01</v>
      </c>
      <c r="R86" s="90" t="n">
        <v>1.01</v>
      </c>
      <c r="S86" s="204"/>
    </row>
    <row r="87" customFormat="false" ht="12.75" hidden="true" customHeight="false" outlineLevel="1" collapsed="false">
      <c r="A87" s="523" t="s">
        <v>247</v>
      </c>
      <c r="C87" s="509"/>
      <c r="D87" s="509"/>
      <c r="E87" s="516"/>
      <c r="G87" s="340"/>
      <c r="H87" s="90" t="n">
        <v>1.25</v>
      </c>
      <c r="I87" s="90" t="n">
        <v>1.25</v>
      </c>
      <c r="J87" s="90" t="n">
        <v>1.25</v>
      </c>
      <c r="K87" s="90" t="n">
        <v>1.15</v>
      </c>
      <c r="L87" s="90" t="n">
        <v>1.15</v>
      </c>
      <c r="M87" s="90" t="n">
        <v>1.05</v>
      </c>
      <c r="N87" s="90" t="n">
        <v>1.05</v>
      </c>
      <c r="O87" s="90" t="n">
        <v>0.95</v>
      </c>
      <c r="P87" s="90" t="n">
        <v>0.95</v>
      </c>
      <c r="Q87" s="90" t="n">
        <v>0.85</v>
      </c>
      <c r="R87" s="90" t="n">
        <v>0.85</v>
      </c>
      <c r="S87" s="204"/>
    </row>
    <row r="88" customFormat="false" ht="12.75" hidden="true" customHeight="false" outlineLevel="1" collapsed="false">
      <c r="A88" s="386" t="s">
        <v>248</v>
      </c>
      <c r="C88" s="509"/>
      <c r="D88" s="509"/>
      <c r="E88" s="516"/>
      <c r="G88" s="340"/>
      <c r="H88" s="90" t="n">
        <v>1.03</v>
      </c>
      <c r="I88" s="90" t="n">
        <v>1.03</v>
      </c>
      <c r="J88" s="90" t="n">
        <v>1.03</v>
      </c>
      <c r="K88" s="90" t="n">
        <v>1.03</v>
      </c>
      <c r="L88" s="90" t="n">
        <v>1.03</v>
      </c>
      <c r="M88" s="90" t="n">
        <v>1.03</v>
      </c>
      <c r="N88" s="90" t="n">
        <v>1.03</v>
      </c>
      <c r="O88" s="90" t="n">
        <v>1.03</v>
      </c>
      <c r="P88" s="90" t="n">
        <v>1.03</v>
      </c>
      <c r="Q88" s="90" t="n">
        <v>1.03</v>
      </c>
      <c r="R88" s="90" t="n">
        <v>1.03</v>
      </c>
      <c r="S88" s="204"/>
    </row>
    <row r="89" customFormat="false" ht="12.75" hidden="true" customHeight="false" outlineLevel="1" collapsed="false">
      <c r="A89" s="386" t="s">
        <v>249</v>
      </c>
      <c r="C89" s="509"/>
      <c r="D89" s="509"/>
      <c r="E89" s="516"/>
      <c r="G89" s="340"/>
      <c r="H89" s="90" t="n">
        <v>1.02</v>
      </c>
      <c r="I89" s="90" t="n">
        <v>1.02</v>
      </c>
      <c r="J89" s="90" t="n">
        <v>1.02</v>
      </c>
      <c r="K89" s="90" t="n">
        <v>1.02</v>
      </c>
      <c r="L89" s="90" t="n">
        <v>1.02</v>
      </c>
      <c r="M89" s="90" t="n">
        <v>1.02</v>
      </c>
      <c r="N89" s="90" t="n">
        <v>1.02</v>
      </c>
      <c r="O89" s="90" t="n">
        <v>1.02</v>
      </c>
      <c r="P89" s="90" t="n">
        <v>1.02</v>
      </c>
      <c r="Q89" s="90" t="n">
        <v>1.02</v>
      </c>
      <c r="R89" s="90" t="n">
        <v>1.02</v>
      </c>
      <c r="S89" s="204"/>
    </row>
    <row r="90" customFormat="false" ht="12.75" hidden="true" customHeight="false" outlineLevel="1" collapsed="false">
      <c r="A90" s="512" t="str">
        <f aca="false">A79</f>
        <v>Cost of Sales</v>
      </c>
      <c r="C90" s="509"/>
      <c r="D90" s="525"/>
      <c r="E90" s="70"/>
      <c r="F90" s="70"/>
      <c r="G90" s="70"/>
      <c r="H90" s="90" t="n">
        <v>1.1</v>
      </c>
      <c r="I90" s="90" t="n">
        <f aca="false">H90</f>
        <v>1.1</v>
      </c>
      <c r="J90" s="90" t="n">
        <f aca="false">I90</f>
        <v>1.1</v>
      </c>
      <c r="K90" s="90" t="n">
        <f aca="false">J90</f>
        <v>1.1</v>
      </c>
      <c r="L90" s="90" t="n">
        <f aca="false">K90</f>
        <v>1.1</v>
      </c>
      <c r="M90" s="90" t="n">
        <v>1.05</v>
      </c>
      <c r="N90" s="90" t="n">
        <f aca="false">M90</f>
        <v>1.05</v>
      </c>
      <c r="O90" s="90" t="n">
        <v>1.05</v>
      </c>
      <c r="P90" s="90" t="n">
        <v>1.05</v>
      </c>
      <c r="Q90" s="90" t="n">
        <v>1</v>
      </c>
      <c r="R90" s="90" t="n">
        <v>1</v>
      </c>
      <c r="S90" s="204"/>
    </row>
    <row r="91" customFormat="false" ht="12.75" hidden="true" customHeight="false" outlineLevel="1" collapsed="false">
      <c r="A91" s="386" t="s">
        <v>272</v>
      </c>
      <c r="C91" s="509"/>
      <c r="D91" s="509"/>
      <c r="E91" s="70"/>
      <c r="F91" s="70"/>
      <c r="G91" s="70"/>
      <c r="H91" s="90" t="n">
        <v>1.01</v>
      </c>
      <c r="I91" s="90" t="n">
        <v>1.01</v>
      </c>
      <c r="J91" s="90" t="n">
        <v>1.01</v>
      </c>
      <c r="K91" s="90" t="n">
        <v>1.01</v>
      </c>
      <c r="L91" s="90" t="n">
        <v>1.01</v>
      </c>
      <c r="M91" s="90" t="n">
        <v>1.01</v>
      </c>
      <c r="N91" s="90" t="n">
        <v>1.01</v>
      </c>
      <c r="O91" s="90" t="n">
        <v>1.01</v>
      </c>
      <c r="P91" s="90" t="n">
        <v>1.01</v>
      </c>
      <c r="Q91" s="90" t="n">
        <v>1.01</v>
      </c>
      <c r="R91" s="90" t="n">
        <v>1.01</v>
      </c>
      <c r="S91" s="204"/>
    </row>
    <row r="92" customFormat="false" ht="12.75" hidden="true" customHeight="false" outlineLevel="1" collapsed="false">
      <c r="A92" s="386" t="s">
        <v>252</v>
      </c>
      <c r="C92" s="509"/>
      <c r="D92" s="522"/>
      <c r="E92" s="70" t="n">
        <f aca="false">E81/D81</f>
        <v>0.959331031136733</v>
      </c>
      <c r="F92" s="70" t="n">
        <f aca="false">F81/E81</f>
        <v>1.13973344439817</v>
      </c>
      <c r="G92" s="70" t="n">
        <f aca="false">G81/F81</f>
        <v>1.03367179139151</v>
      </c>
      <c r="H92" s="131" t="n">
        <f aca="false">AVERAGE(E92:G92)</f>
        <v>1.0442454223088</v>
      </c>
      <c r="I92" s="90" t="n">
        <v>1.03</v>
      </c>
      <c r="J92" s="90" t="n">
        <v>1</v>
      </c>
      <c r="K92" s="90" t="n">
        <f aca="false">J92</f>
        <v>1</v>
      </c>
      <c r="L92" s="90" t="n">
        <f aca="false">K92</f>
        <v>1</v>
      </c>
      <c r="M92" s="90" t="n">
        <f aca="false">L92</f>
        <v>1</v>
      </c>
      <c r="N92" s="90" t="n">
        <f aca="false">M92</f>
        <v>1</v>
      </c>
      <c r="O92" s="90" t="n">
        <f aca="false">N92</f>
        <v>1</v>
      </c>
      <c r="P92" s="90" t="n">
        <v>1</v>
      </c>
      <c r="Q92" s="90" t="n">
        <f aca="false">P92</f>
        <v>1</v>
      </c>
      <c r="R92" s="90" t="n">
        <f aca="false">Q92</f>
        <v>1</v>
      </c>
      <c r="S92" s="204"/>
    </row>
    <row r="93" customFormat="false" ht="12.75" hidden="true" customHeight="false" outlineLevel="1" collapsed="false">
      <c r="A93" s="524" t="s">
        <v>253</v>
      </c>
      <c r="C93" s="509"/>
      <c r="D93" s="522"/>
      <c r="E93" s="70" t="n">
        <f aca="false">E82/D82</f>
        <v>1.78430420711974</v>
      </c>
      <c r="F93" s="70" t="n">
        <f aca="false">F82/E82</f>
        <v>0.983857803573048</v>
      </c>
      <c r="G93" s="70" t="n">
        <f aca="false">G82/F82</f>
        <v>1.02894275970136</v>
      </c>
      <c r="H93" s="90" t="n">
        <v>0.7</v>
      </c>
      <c r="I93" s="90" t="n">
        <v>1.4</v>
      </c>
      <c r="J93" s="90" t="n">
        <v>1</v>
      </c>
      <c r="K93" s="90" t="n">
        <f aca="false">J93</f>
        <v>1</v>
      </c>
      <c r="L93" s="90" t="n">
        <f aca="false">K93</f>
        <v>1</v>
      </c>
      <c r="M93" s="90" t="n">
        <f aca="false">L93</f>
        <v>1</v>
      </c>
      <c r="N93" s="90" t="n">
        <f aca="false">M93</f>
        <v>1</v>
      </c>
      <c r="O93" s="90" t="n">
        <f aca="false">N93</f>
        <v>1</v>
      </c>
      <c r="P93" s="90" t="n">
        <f aca="false">O93</f>
        <v>1</v>
      </c>
      <c r="Q93" s="90" t="n">
        <f aca="false">P93</f>
        <v>1</v>
      </c>
      <c r="R93" s="90" t="n">
        <f aca="false">Q93</f>
        <v>1</v>
      </c>
      <c r="S93" s="204"/>
    </row>
    <row r="94" customFormat="false" ht="12.75" hidden="true" customHeight="false" outlineLevel="1" collapsed="false">
      <c r="S94" s="204"/>
    </row>
    <row r="95" customFormat="false" ht="15.75" hidden="false" customHeight="false" outlineLevel="0" collapsed="false">
      <c r="A95" s="284" t="s">
        <v>255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204"/>
    </row>
    <row r="96" customFormat="false" ht="12.75" hidden="false" customHeight="true" outlineLevel="0" collapsed="false">
      <c r="A96" s="288"/>
      <c r="B96" s="204"/>
      <c r="C96" s="204"/>
      <c r="D96" s="204"/>
      <c r="E96" s="292"/>
      <c r="F96" s="292"/>
      <c r="G96" s="293"/>
      <c r="H96" s="294" t="s">
        <v>156</v>
      </c>
      <c r="I96" s="295"/>
      <c r="J96" s="293"/>
      <c r="K96" s="293"/>
      <c r="L96" s="296"/>
      <c r="M96" s="293"/>
      <c r="N96" s="296"/>
      <c r="O96" s="296"/>
      <c r="P96" s="296"/>
      <c r="Q96" s="296"/>
      <c r="R96" s="75"/>
      <c r="S96" s="204"/>
    </row>
    <row r="97" customFormat="false" ht="12.75" hidden="false" customHeight="true" outlineLevel="0" collapsed="false">
      <c r="A97" s="288"/>
      <c r="B97" s="204"/>
      <c r="C97" s="204"/>
      <c r="D97" s="452" t="n">
        <v>1997</v>
      </c>
      <c r="E97" s="297" t="n">
        <v>1998</v>
      </c>
      <c r="F97" s="297" t="n">
        <v>1999</v>
      </c>
      <c r="G97" s="297" t="n">
        <v>2000</v>
      </c>
      <c r="H97" s="297" t="n">
        <v>2001</v>
      </c>
      <c r="I97" s="298" t="n">
        <v>2002</v>
      </c>
      <c r="J97" s="298" t="n">
        <v>2003</v>
      </c>
      <c r="K97" s="298" t="n">
        <v>2004</v>
      </c>
      <c r="L97" s="298" t="n">
        <v>2005</v>
      </c>
      <c r="M97" s="298" t="n">
        <v>2006</v>
      </c>
      <c r="N97" s="299" t="n">
        <v>2007</v>
      </c>
      <c r="O97" s="299" t="n">
        <v>2008</v>
      </c>
      <c r="P97" s="299" t="n">
        <v>2009</v>
      </c>
      <c r="Q97" s="299" t="n">
        <v>2010</v>
      </c>
      <c r="R97" s="300" t="n">
        <v>2011</v>
      </c>
      <c r="S97" s="204"/>
    </row>
    <row r="98" customFormat="false" ht="12.75" hidden="false" customHeight="true" outlineLevel="0" collapsed="false">
      <c r="A98" s="288"/>
      <c r="B98" s="304" t="s">
        <v>159</v>
      </c>
      <c r="C98" s="204"/>
      <c r="D98" s="204"/>
      <c r="G98" s="526" t="s">
        <v>157</v>
      </c>
      <c r="H98" s="297" t="n">
        <v>1</v>
      </c>
      <c r="I98" s="298" t="n">
        <v>2</v>
      </c>
      <c r="J98" s="298" t="n">
        <v>3</v>
      </c>
      <c r="K98" s="298" t="n">
        <v>4</v>
      </c>
      <c r="L98" s="298" t="n">
        <v>5</v>
      </c>
      <c r="M98" s="298" t="n">
        <v>6</v>
      </c>
      <c r="N98" s="298" t="n">
        <v>7</v>
      </c>
      <c r="O98" s="298" t="n">
        <v>8</v>
      </c>
      <c r="P98" s="298" t="n">
        <v>9</v>
      </c>
      <c r="Q98" s="298" t="n">
        <v>10</v>
      </c>
      <c r="R98" s="302" t="n">
        <v>11</v>
      </c>
      <c r="S98" s="204"/>
    </row>
    <row r="99" customFormat="false" ht="12.75" hidden="false" customHeight="false" outlineLevel="0" collapsed="false">
      <c r="A99" s="386" t="s">
        <v>256</v>
      </c>
      <c r="B99" s="510" t="n">
        <v>0</v>
      </c>
      <c r="D99" s="511"/>
      <c r="E99" s="511"/>
      <c r="F99" s="511"/>
      <c r="G99" s="511"/>
      <c r="H99" s="158" t="n">
        <f aca="false">$B$99*555</f>
        <v>0</v>
      </c>
      <c r="I99" s="158" t="n">
        <f aca="false">$B$99*555</f>
        <v>0</v>
      </c>
      <c r="J99" s="158" t="n">
        <f aca="false">$B$99*355</f>
        <v>0</v>
      </c>
      <c r="K99" s="158" t="n">
        <f aca="false">J99*K110</f>
        <v>0</v>
      </c>
      <c r="L99" s="158" t="n">
        <f aca="false">K99*L110</f>
        <v>0</v>
      </c>
      <c r="M99" s="184" t="n">
        <f aca="false">L99*M110</f>
        <v>0</v>
      </c>
      <c r="N99" s="184" t="n">
        <f aca="false">M99*N110</f>
        <v>0</v>
      </c>
      <c r="O99" s="184" t="n">
        <f aca="false">N99*O110</f>
        <v>0</v>
      </c>
      <c r="P99" s="184" t="n">
        <f aca="false">O99*P110</f>
        <v>0</v>
      </c>
      <c r="Q99" s="184" t="n">
        <f aca="false">P99*Q110</f>
        <v>0</v>
      </c>
      <c r="R99" s="184" t="n">
        <f aca="false">Q99*R110</f>
        <v>0</v>
      </c>
      <c r="S99" s="204"/>
    </row>
    <row r="100" customFormat="false" ht="12.75" hidden="false" customHeight="false" outlineLevel="0" collapsed="false">
      <c r="A100" s="386" t="s">
        <v>257</v>
      </c>
      <c r="B100" s="510" t="n">
        <v>0</v>
      </c>
      <c r="D100" s="511"/>
      <c r="E100" s="511"/>
      <c r="F100" s="511"/>
      <c r="G100" s="511"/>
      <c r="H100" s="158" t="n">
        <f aca="false">$B$100*145</f>
        <v>0</v>
      </c>
      <c r="I100" s="158" t="n">
        <f aca="false">$B$100*145</f>
        <v>0</v>
      </c>
      <c r="J100" s="158" t="n">
        <f aca="false">$B$100*135</f>
        <v>0</v>
      </c>
      <c r="K100" s="158" t="n">
        <f aca="false">J100*K111</f>
        <v>0</v>
      </c>
      <c r="L100" s="158" t="n">
        <f aca="false">K100*L111</f>
        <v>0</v>
      </c>
      <c r="M100" s="184" t="n">
        <f aca="false">L100*M111</f>
        <v>0</v>
      </c>
      <c r="N100" s="184" t="n">
        <f aca="false">M100*N111</f>
        <v>0</v>
      </c>
      <c r="O100" s="184" t="n">
        <f aca="false">N100*O111</f>
        <v>0</v>
      </c>
      <c r="P100" s="184" t="n">
        <f aca="false">O100*P111</f>
        <v>0</v>
      </c>
      <c r="Q100" s="184" t="n">
        <f aca="false">P100*Q111</f>
        <v>0</v>
      </c>
      <c r="R100" s="184" t="n">
        <f aca="false">Q100*R111</f>
        <v>0</v>
      </c>
      <c r="S100" s="204"/>
    </row>
    <row r="101" customFormat="false" ht="12.75" hidden="false" customHeight="false" outlineLevel="0" collapsed="false">
      <c r="A101" s="386" t="s">
        <v>258</v>
      </c>
      <c r="B101" s="510" t="n">
        <v>1</v>
      </c>
      <c r="D101" s="511" t="n">
        <v>31812</v>
      </c>
      <c r="E101" s="511" t="n">
        <v>18416</v>
      </c>
      <c r="F101" s="527" t="n">
        <v>33252</v>
      </c>
      <c r="G101" s="527" t="n">
        <v>26445</v>
      </c>
      <c r="H101" s="157" t="n">
        <v>67900</v>
      </c>
      <c r="I101" s="158" t="n">
        <v>61400</v>
      </c>
      <c r="J101" s="158" t="n">
        <v>20000</v>
      </c>
      <c r="K101" s="158" t="n">
        <v>20000</v>
      </c>
      <c r="L101" s="158" t="n">
        <f aca="false">K101*L112</f>
        <v>20000</v>
      </c>
      <c r="M101" s="158" t="n">
        <f aca="false">L101*M112</f>
        <v>20000</v>
      </c>
      <c r="N101" s="158" t="n">
        <f aca="false">M101*N112</f>
        <v>20000</v>
      </c>
      <c r="O101" s="158" t="n">
        <f aca="false">N101*O112</f>
        <v>20000</v>
      </c>
      <c r="P101" s="158" t="n">
        <f aca="false">O101*P112</f>
        <v>20000</v>
      </c>
      <c r="Q101" s="158" t="n">
        <f aca="false">P101*Q112</f>
        <v>20000</v>
      </c>
      <c r="R101" s="158" t="n">
        <f aca="false">Q101*R112</f>
        <v>20000</v>
      </c>
      <c r="S101" s="204"/>
    </row>
    <row r="102" customFormat="false" ht="12.75" hidden="false" customHeight="false" outlineLevel="0" collapsed="false">
      <c r="A102" s="386" t="s">
        <v>259</v>
      </c>
      <c r="B102" s="510" t="n">
        <v>1</v>
      </c>
      <c r="D102" s="511" t="n">
        <v>-1573</v>
      </c>
      <c r="E102" s="511" t="n">
        <v>354</v>
      </c>
      <c r="F102" s="527" t="n">
        <v>859</v>
      </c>
      <c r="G102" s="527" t="n">
        <v>3221</v>
      </c>
      <c r="H102" s="157" t="n">
        <v>237</v>
      </c>
      <c r="I102" s="158" t="n">
        <v>0</v>
      </c>
      <c r="J102" s="158" t="n">
        <f aca="false">I102*J113</f>
        <v>0</v>
      </c>
      <c r="K102" s="158" t="n">
        <f aca="false">J102*K113</f>
        <v>0</v>
      </c>
      <c r="L102" s="158" t="n">
        <f aca="false">K102*L113</f>
        <v>0</v>
      </c>
      <c r="M102" s="158" t="n">
        <f aca="false">L102*M113</f>
        <v>0</v>
      </c>
      <c r="N102" s="158" t="n">
        <f aca="false">M102*N113</f>
        <v>0</v>
      </c>
      <c r="O102" s="158" t="n">
        <f aca="false">N102*O113</f>
        <v>0</v>
      </c>
      <c r="P102" s="158" t="n">
        <f aca="false">O102*P113</f>
        <v>0</v>
      </c>
      <c r="Q102" s="158" t="n">
        <f aca="false">P102*Q113</f>
        <v>0</v>
      </c>
      <c r="R102" s="158" t="n">
        <f aca="false">Q102*R113</f>
        <v>0</v>
      </c>
      <c r="S102" s="204"/>
    </row>
    <row r="103" customFormat="false" ht="12.75" hidden="false" customHeight="false" outlineLevel="0" collapsed="false">
      <c r="A103" s="386" t="s">
        <v>260</v>
      </c>
      <c r="B103" s="510" t="n">
        <v>0</v>
      </c>
      <c r="D103" s="511" t="n">
        <f aca="false">$B$103*22580</f>
        <v>0</v>
      </c>
      <c r="E103" s="511" t="n">
        <f aca="false">$B$103*65549</f>
        <v>0</v>
      </c>
      <c r="F103" s="527" t="n">
        <f aca="false">$B$103*47960</f>
        <v>0</v>
      </c>
      <c r="G103" s="527" t="n">
        <f aca="false">$B$103*82028</f>
        <v>0</v>
      </c>
      <c r="H103" s="158" t="n">
        <f aca="false">G103*H114</f>
        <v>0</v>
      </c>
      <c r="I103" s="158" t="n">
        <f aca="false">H103*I114</f>
        <v>0</v>
      </c>
      <c r="J103" s="158" t="n">
        <f aca="false">I103*J114</f>
        <v>0</v>
      </c>
      <c r="K103" s="158" t="n">
        <f aca="false">J103*K114</f>
        <v>0</v>
      </c>
      <c r="L103" s="158" t="n">
        <f aca="false">K103*L114</f>
        <v>0</v>
      </c>
      <c r="M103" s="158" t="n">
        <f aca="false">L103*M114</f>
        <v>0</v>
      </c>
      <c r="N103" s="158" t="n">
        <f aca="false">M103*N114</f>
        <v>0</v>
      </c>
      <c r="O103" s="158" t="n">
        <f aca="false">N103*O114</f>
        <v>0</v>
      </c>
      <c r="P103" s="158" t="n">
        <f aca="false">O103*P114</f>
        <v>0</v>
      </c>
      <c r="Q103" s="158" t="n">
        <f aca="false">P103*Q114</f>
        <v>0</v>
      </c>
      <c r="R103" s="158" t="n">
        <f aca="false">Q103*R114</f>
        <v>0</v>
      </c>
      <c r="S103" s="204"/>
    </row>
    <row r="104" customFormat="false" ht="12.75" hidden="false" customHeight="false" outlineLevel="0" collapsed="false">
      <c r="A104" s="386" t="s">
        <v>261</v>
      </c>
      <c r="B104" s="510" t="n">
        <v>1</v>
      </c>
      <c r="D104" s="511" t="n">
        <v>-250</v>
      </c>
      <c r="E104" s="511" t="n">
        <v>-70</v>
      </c>
      <c r="F104" s="511" t="n">
        <v>-2817</v>
      </c>
      <c r="G104" s="511" t="n">
        <v>-117</v>
      </c>
      <c r="H104" s="158" t="n">
        <v>-32</v>
      </c>
      <c r="I104" s="158" t="n">
        <v>0</v>
      </c>
      <c r="J104" s="158" t="n">
        <f aca="false">I104*J115</f>
        <v>0</v>
      </c>
      <c r="K104" s="158" t="n">
        <f aca="false">J104*K115</f>
        <v>0</v>
      </c>
      <c r="L104" s="158" t="n">
        <f aca="false">K104*L115</f>
        <v>0</v>
      </c>
      <c r="M104" s="158" t="n">
        <f aca="false">L104*M115</f>
        <v>0</v>
      </c>
      <c r="N104" s="158" t="n">
        <f aca="false">M104*N115</f>
        <v>0</v>
      </c>
      <c r="O104" s="158" t="n">
        <f aca="false">N104*O115</f>
        <v>0</v>
      </c>
      <c r="P104" s="158" t="n">
        <f aca="false">O104*P115</f>
        <v>0</v>
      </c>
      <c r="Q104" s="158" t="n">
        <f aca="false">P104*Q115</f>
        <v>0</v>
      </c>
      <c r="R104" s="158" t="n">
        <f aca="false">Q104*R115</f>
        <v>0</v>
      </c>
      <c r="S104" s="204"/>
    </row>
    <row r="105" customFormat="false" ht="12.75" hidden="false" customHeight="false" outlineLevel="0" collapsed="false">
      <c r="A105" s="386" t="s">
        <v>239</v>
      </c>
      <c r="B105" s="510" t="n">
        <v>0</v>
      </c>
      <c r="D105" s="511"/>
      <c r="E105" s="511"/>
      <c r="F105" s="511"/>
      <c r="G105" s="511"/>
      <c r="H105" s="158" t="n">
        <f aca="false">$B$105*60</f>
        <v>0</v>
      </c>
      <c r="I105" s="158" t="n">
        <f aca="false">$B$105*5</f>
        <v>0</v>
      </c>
      <c r="J105" s="158" t="n">
        <f aca="false">$B$105*5</f>
        <v>0</v>
      </c>
      <c r="K105" s="158" t="n">
        <f aca="false">J105*K116</f>
        <v>0</v>
      </c>
      <c r="L105" s="158" t="n">
        <f aca="false">K105*L116</f>
        <v>0</v>
      </c>
      <c r="M105" s="184" t="n">
        <f aca="false">L105*M116</f>
        <v>0</v>
      </c>
      <c r="N105" s="184" t="n">
        <f aca="false">M105*N116</f>
        <v>0</v>
      </c>
      <c r="O105" s="184" t="n">
        <f aca="false">N105*O116</f>
        <v>0</v>
      </c>
      <c r="P105" s="184" t="n">
        <f aca="false">O105*P116</f>
        <v>0</v>
      </c>
      <c r="Q105" s="184" t="n">
        <f aca="false">P105*Q116</f>
        <v>0</v>
      </c>
      <c r="R105" s="184" t="n">
        <f aca="false">Q105*R116</f>
        <v>0</v>
      </c>
      <c r="S105" s="204"/>
    </row>
    <row r="106" customFormat="false" ht="12.75" hidden="false" customHeight="false" outlineLevel="0" collapsed="false">
      <c r="A106" s="524" t="s">
        <v>240</v>
      </c>
      <c r="B106" s="103" t="n">
        <v>0</v>
      </c>
      <c r="C106" s="75"/>
      <c r="D106" s="515"/>
      <c r="E106" s="515"/>
      <c r="F106" s="515"/>
      <c r="G106" s="515"/>
      <c r="H106" s="167" t="n">
        <f aca="false">$B$106*30</f>
        <v>0</v>
      </c>
      <c r="I106" s="167" t="n">
        <f aca="false">$B$106*25</f>
        <v>0</v>
      </c>
      <c r="J106" s="167" t="n">
        <f aca="false">$B$106*5</f>
        <v>0</v>
      </c>
      <c r="K106" s="167" t="n">
        <f aca="false">J106*K117</f>
        <v>0</v>
      </c>
      <c r="L106" s="167" t="n">
        <f aca="false">K106*L117</f>
        <v>0</v>
      </c>
      <c r="M106" s="193" t="n">
        <f aca="false">L106*M117</f>
        <v>0</v>
      </c>
      <c r="N106" s="193" t="n">
        <f aca="false">M106*N117</f>
        <v>0</v>
      </c>
      <c r="O106" s="193" t="n">
        <f aca="false">N106*O117</f>
        <v>0</v>
      </c>
      <c r="P106" s="193" t="n">
        <f aca="false">O106*P117</f>
        <v>0</v>
      </c>
      <c r="Q106" s="193" t="n">
        <f aca="false">P106*Q117</f>
        <v>0</v>
      </c>
      <c r="R106" s="193" t="n">
        <f aca="false">Q106*R117</f>
        <v>0</v>
      </c>
      <c r="S106" s="204"/>
    </row>
    <row r="107" customFormat="false" ht="12.75" hidden="false" customHeight="false" outlineLevel="0" collapsed="false">
      <c r="A107" s="528" t="s">
        <v>262</v>
      </c>
      <c r="D107" s="457" t="n">
        <f aca="false">SUM(D99:D106)</f>
        <v>29989</v>
      </c>
      <c r="E107" s="457" t="n">
        <f aca="false">SUM(E99:E106)</f>
        <v>18700</v>
      </c>
      <c r="F107" s="457" t="n">
        <f aca="false">SUM(F99:F106)</f>
        <v>31294</v>
      </c>
      <c r="G107" s="457" t="n">
        <f aca="false">SUM(G99:G106)</f>
        <v>29549</v>
      </c>
      <c r="H107" s="176" t="n">
        <f aca="false">SUM(H99:H106)</f>
        <v>68105</v>
      </c>
      <c r="I107" s="176" t="n">
        <f aca="false">SUM(I99:I106)</f>
        <v>61400</v>
      </c>
      <c r="J107" s="176" t="n">
        <f aca="false">SUM(J99:J106)</f>
        <v>20000</v>
      </c>
      <c r="K107" s="176" t="n">
        <f aca="false">SUM(K99:K106)</f>
        <v>20000</v>
      </c>
      <c r="L107" s="176" t="n">
        <f aca="false">SUM(L99:L106)</f>
        <v>20000</v>
      </c>
      <c r="M107" s="176" t="n">
        <f aca="false">SUM(M99:M106)</f>
        <v>20000</v>
      </c>
      <c r="N107" s="176" t="n">
        <f aca="false">SUM(N99:N106)</f>
        <v>20000</v>
      </c>
      <c r="O107" s="176" t="n">
        <f aca="false">SUM(O99:O106)</f>
        <v>20000</v>
      </c>
      <c r="P107" s="176" t="n">
        <f aca="false">SUM(P99:P106)</f>
        <v>20000</v>
      </c>
      <c r="Q107" s="176" t="n">
        <f aca="false">SUM(Q99:Q106)</f>
        <v>20000</v>
      </c>
      <c r="R107" s="176" t="n">
        <f aca="false">SUM(R99:R106)</f>
        <v>20000</v>
      </c>
      <c r="S107" s="204"/>
    </row>
    <row r="108" customFormat="false" ht="12.75" hidden="false" customHeight="false" outlineLevel="0" collapsed="false">
      <c r="A108" s="528"/>
      <c r="E108" s="529"/>
      <c r="F108" s="529"/>
      <c r="G108" s="529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204"/>
    </row>
    <row r="109" customFormat="false" ht="15.75" hidden="true" customHeight="false" outlineLevel="1" collapsed="false">
      <c r="A109" s="517" t="s">
        <v>242</v>
      </c>
      <c r="B109" s="85"/>
      <c r="C109" s="518"/>
      <c r="D109" s="518"/>
      <c r="E109" s="519"/>
      <c r="F109" s="85"/>
      <c r="G109" s="520"/>
      <c r="H109" s="521"/>
      <c r="I109" s="521"/>
      <c r="J109" s="521"/>
      <c r="K109" s="521"/>
      <c r="L109" s="521"/>
      <c r="M109" s="521"/>
      <c r="N109" s="521"/>
      <c r="O109" s="521"/>
      <c r="P109" s="521"/>
      <c r="Q109" s="521"/>
      <c r="R109" s="521"/>
      <c r="S109" s="290"/>
    </row>
    <row r="110" customFormat="false" ht="12.75" hidden="true" customHeight="false" outlineLevel="1" collapsed="false">
      <c r="A110" s="386" t="s">
        <v>256</v>
      </c>
      <c r="C110" s="509"/>
      <c r="D110" s="509"/>
      <c r="E110" s="516"/>
      <c r="G110" s="340"/>
      <c r="H110" s="90"/>
      <c r="I110" s="90"/>
      <c r="J110" s="90"/>
      <c r="K110" s="90"/>
      <c r="L110" s="90"/>
      <c r="M110" s="90" t="n">
        <v>1.01</v>
      </c>
      <c r="N110" s="90" t="n">
        <v>1.01</v>
      </c>
      <c r="O110" s="90" t="n">
        <v>1.01</v>
      </c>
      <c r="P110" s="90" t="n">
        <v>1.01</v>
      </c>
      <c r="Q110" s="90" t="n">
        <v>1.01</v>
      </c>
      <c r="R110" s="90" t="n">
        <v>1.01</v>
      </c>
      <c r="S110" s="204"/>
    </row>
    <row r="111" customFormat="false" ht="12.75" hidden="true" customHeight="false" outlineLevel="1" collapsed="false">
      <c r="A111" s="386" t="s">
        <v>257</v>
      </c>
      <c r="C111" s="509"/>
      <c r="D111" s="509"/>
      <c r="E111" s="516"/>
      <c r="G111" s="340"/>
      <c r="H111" s="90"/>
      <c r="I111" s="90"/>
      <c r="J111" s="90"/>
      <c r="K111" s="90"/>
      <c r="L111" s="90"/>
      <c r="M111" s="90" t="n">
        <v>1.02</v>
      </c>
      <c r="N111" s="90" t="n">
        <v>1.02</v>
      </c>
      <c r="O111" s="90" t="n">
        <v>1.02</v>
      </c>
      <c r="P111" s="90" t="n">
        <v>1.02</v>
      </c>
      <c r="Q111" s="90" t="n">
        <v>1.02</v>
      </c>
      <c r="R111" s="90" t="n">
        <v>1.02</v>
      </c>
      <c r="S111" s="204"/>
    </row>
    <row r="112" customFormat="false" ht="12.75" hidden="true" customHeight="false" outlineLevel="1" collapsed="false">
      <c r="A112" s="386" t="s">
        <v>258</v>
      </c>
      <c r="C112" s="509"/>
      <c r="D112" s="509"/>
      <c r="E112" s="70" t="n">
        <f aca="false">E101/D101</f>
        <v>0.578901043631334</v>
      </c>
      <c r="F112" s="70" t="n">
        <f aca="false">F101/E101</f>
        <v>1.80560382276281</v>
      </c>
      <c r="G112" s="70" t="n">
        <f aca="false">G101/F101</f>
        <v>0.795290508841574</v>
      </c>
      <c r="H112" s="70" t="n">
        <f aca="false">H101/G101</f>
        <v>2.56759311779164</v>
      </c>
      <c r="I112" s="90" t="n">
        <v>1</v>
      </c>
      <c r="J112" s="90" t="n">
        <v>1</v>
      </c>
      <c r="K112" s="90" t="n">
        <v>1</v>
      </c>
      <c r="L112" s="90" t="n">
        <v>1</v>
      </c>
      <c r="M112" s="90" t="n">
        <f aca="false">L112</f>
        <v>1</v>
      </c>
      <c r="N112" s="90" t="n">
        <f aca="false">M112</f>
        <v>1</v>
      </c>
      <c r="O112" s="90" t="n">
        <f aca="false">N112</f>
        <v>1</v>
      </c>
      <c r="P112" s="90" t="n">
        <f aca="false">O112</f>
        <v>1</v>
      </c>
      <c r="Q112" s="90" t="n">
        <f aca="false">P112</f>
        <v>1</v>
      </c>
      <c r="R112" s="90" t="n">
        <f aca="false">Q112</f>
        <v>1</v>
      </c>
      <c r="S112" s="204"/>
    </row>
    <row r="113" customFormat="false" ht="12.75" hidden="true" customHeight="false" outlineLevel="1" collapsed="false">
      <c r="A113" s="386" t="s">
        <v>259</v>
      </c>
      <c r="C113" s="509"/>
      <c r="D113" s="509"/>
      <c r="E113" s="70" t="n">
        <f aca="false">E102/D102</f>
        <v>-0.225047679593134</v>
      </c>
      <c r="F113" s="70"/>
      <c r="G113" s="70" t="n">
        <f aca="false">G102/F102</f>
        <v>3.74970896391153</v>
      </c>
      <c r="H113" s="90" t="n">
        <v>0.2</v>
      </c>
      <c r="I113" s="90" t="n">
        <v>1</v>
      </c>
      <c r="J113" s="90" t="n">
        <f aca="false">I113</f>
        <v>1</v>
      </c>
      <c r="K113" s="90" t="n">
        <f aca="false">J113</f>
        <v>1</v>
      </c>
      <c r="L113" s="90" t="n">
        <f aca="false">K113</f>
        <v>1</v>
      </c>
      <c r="M113" s="90" t="n">
        <f aca="false">L113</f>
        <v>1</v>
      </c>
      <c r="N113" s="90" t="n">
        <f aca="false">M113</f>
        <v>1</v>
      </c>
      <c r="O113" s="90" t="n">
        <f aca="false">N113</f>
        <v>1</v>
      </c>
      <c r="P113" s="90" t="n">
        <f aca="false">O113</f>
        <v>1</v>
      </c>
      <c r="Q113" s="90" t="n">
        <f aca="false">P113</f>
        <v>1</v>
      </c>
      <c r="R113" s="90" t="n">
        <f aca="false">Q113</f>
        <v>1</v>
      </c>
      <c r="S113" s="204"/>
    </row>
    <row r="114" customFormat="false" ht="12.75" hidden="true" customHeight="false" outlineLevel="1" collapsed="false">
      <c r="A114" s="386" t="s">
        <v>260</v>
      </c>
      <c r="C114" s="509"/>
      <c r="D114" s="509"/>
      <c r="E114" s="70"/>
      <c r="F114" s="70"/>
      <c r="G114" s="70"/>
      <c r="H114" s="90" t="n">
        <v>0</v>
      </c>
      <c r="I114" s="90" t="n">
        <v>0</v>
      </c>
      <c r="J114" s="90" t="n">
        <v>0</v>
      </c>
      <c r="K114" s="90" t="n">
        <v>0</v>
      </c>
      <c r="L114" s="90" t="n">
        <v>0</v>
      </c>
      <c r="M114" s="90" t="n">
        <v>0</v>
      </c>
      <c r="N114" s="90" t="n">
        <v>0</v>
      </c>
      <c r="O114" s="90" t="n">
        <v>0</v>
      </c>
      <c r="P114" s="90" t="n">
        <v>0</v>
      </c>
      <c r="Q114" s="90" t="n">
        <v>0</v>
      </c>
      <c r="R114" s="90" t="n">
        <v>0</v>
      </c>
      <c r="S114" s="204"/>
    </row>
    <row r="115" customFormat="false" ht="12.75" hidden="true" customHeight="false" outlineLevel="1" collapsed="false">
      <c r="A115" s="386" t="s">
        <v>261</v>
      </c>
      <c r="C115" s="509"/>
      <c r="D115" s="509"/>
      <c r="E115" s="70" t="n">
        <f aca="false">E104/D104</f>
        <v>0.28</v>
      </c>
      <c r="F115" s="70" t="n">
        <f aca="false">F104/E104</f>
        <v>40.2428571428571</v>
      </c>
      <c r="G115" s="70" t="n">
        <f aca="false">G104/F104</f>
        <v>0.0415335463258786</v>
      </c>
      <c r="H115" s="90" t="n">
        <v>1</v>
      </c>
      <c r="I115" s="90" t="n">
        <f aca="false">H115</f>
        <v>1</v>
      </c>
      <c r="J115" s="90" t="n">
        <f aca="false">I115</f>
        <v>1</v>
      </c>
      <c r="K115" s="90" t="n">
        <f aca="false">J115</f>
        <v>1</v>
      </c>
      <c r="L115" s="90" t="n">
        <f aca="false">K115</f>
        <v>1</v>
      </c>
      <c r="M115" s="90" t="n">
        <v>0</v>
      </c>
      <c r="N115" s="90" t="n">
        <v>0</v>
      </c>
      <c r="O115" s="90" t="n">
        <v>0</v>
      </c>
      <c r="P115" s="90" t="n">
        <v>0</v>
      </c>
      <c r="Q115" s="90" t="n">
        <v>0</v>
      </c>
      <c r="R115" s="90" t="n">
        <v>0</v>
      </c>
      <c r="S115" s="204"/>
    </row>
    <row r="116" customFormat="false" ht="12.75" hidden="true" customHeight="false" outlineLevel="1" collapsed="false">
      <c r="A116" s="386" t="s">
        <v>239</v>
      </c>
      <c r="C116" s="509"/>
      <c r="D116" s="509"/>
      <c r="E116" s="516"/>
      <c r="G116" s="340"/>
      <c r="H116" s="90"/>
      <c r="I116" s="90"/>
      <c r="J116" s="90"/>
      <c r="K116" s="90"/>
      <c r="L116" s="90"/>
      <c r="M116" s="90" t="n">
        <v>1.01</v>
      </c>
      <c r="N116" s="90" t="n">
        <v>1.01</v>
      </c>
      <c r="O116" s="90" t="n">
        <v>1.01</v>
      </c>
      <c r="P116" s="90" t="n">
        <v>1.01</v>
      </c>
      <c r="Q116" s="90" t="n">
        <v>1.01</v>
      </c>
      <c r="R116" s="90" t="n">
        <v>1.01</v>
      </c>
      <c r="S116" s="204"/>
    </row>
    <row r="117" customFormat="false" ht="12.75" hidden="true" customHeight="false" outlineLevel="1" collapsed="false">
      <c r="A117" s="25" t="s">
        <v>240</v>
      </c>
      <c r="C117" s="509"/>
      <c r="D117" s="509"/>
      <c r="E117" s="516"/>
      <c r="G117" s="340"/>
      <c r="H117" s="90"/>
      <c r="I117" s="90"/>
      <c r="J117" s="90"/>
      <c r="K117" s="90"/>
      <c r="L117" s="90"/>
      <c r="M117" s="90" t="n">
        <v>1.01</v>
      </c>
      <c r="N117" s="90" t="n">
        <v>1.01</v>
      </c>
      <c r="O117" s="90" t="n">
        <v>1.01</v>
      </c>
      <c r="P117" s="90" t="n">
        <v>1.01</v>
      </c>
      <c r="Q117" s="90" t="n">
        <v>1.01</v>
      </c>
      <c r="R117" s="90" t="n">
        <v>1.01</v>
      </c>
      <c r="S117" s="204"/>
    </row>
    <row r="118" customFormat="false" ht="12.75" hidden="true" customHeight="false" outlineLevel="1" collapsed="false">
      <c r="A118" s="528"/>
      <c r="E118" s="529"/>
      <c r="F118" s="529"/>
      <c r="G118" s="529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204"/>
    </row>
    <row r="119" customFormat="false" ht="12.75" hidden="true" customHeight="false" outlineLevel="1" collapsed="false">
      <c r="A119" s="308"/>
      <c r="S119" s="204"/>
    </row>
    <row r="120" customFormat="false" ht="12.75" hidden="false" customHeight="false" outlineLevel="0" collapsed="false">
      <c r="A120" s="308"/>
      <c r="S120" s="204"/>
    </row>
    <row r="121" customFormat="false" ht="15.75" hidden="false" customHeight="false" outlineLevel="0" collapsed="false">
      <c r="A121" s="284" t="s">
        <v>263</v>
      </c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204"/>
    </row>
    <row r="122" customFormat="false" ht="12.75" hidden="false" customHeight="false" outlineLevel="0" collapsed="false">
      <c r="E122" s="292"/>
      <c r="F122" s="292"/>
      <c r="G122" s="293"/>
      <c r="H122" s="294" t="s">
        <v>156</v>
      </c>
      <c r="I122" s="295"/>
      <c r="J122" s="293"/>
      <c r="K122" s="293"/>
      <c r="L122" s="296"/>
      <c r="M122" s="293"/>
      <c r="N122" s="296"/>
      <c r="O122" s="296"/>
      <c r="P122" s="296"/>
      <c r="Q122" s="296"/>
      <c r="R122" s="75"/>
    </row>
    <row r="123" customFormat="false" ht="12.75" hidden="false" customHeight="false" outlineLevel="0" collapsed="false">
      <c r="D123" s="452" t="n">
        <v>1997</v>
      </c>
      <c r="E123" s="297" t="n">
        <v>1998</v>
      </c>
      <c r="F123" s="297" t="n">
        <v>1999</v>
      </c>
      <c r="G123" s="297" t="n">
        <v>2000</v>
      </c>
      <c r="H123" s="297" t="n">
        <v>2001</v>
      </c>
      <c r="I123" s="298" t="n">
        <v>2002</v>
      </c>
      <c r="J123" s="298" t="n">
        <v>2003</v>
      </c>
      <c r="K123" s="298" t="n">
        <v>2004</v>
      </c>
      <c r="L123" s="298" t="n">
        <v>2005</v>
      </c>
      <c r="M123" s="298" t="n">
        <v>2006</v>
      </c>
      <c r="N123" s="299" t="n">
        <v>2007</v>
      </c>
      <c r="O123" s="299" t="n">
        <v>2008</v>
      </c>
      <c r="P123" s="299" t="n">
        <v>2009</v>
      </c>
      <c r="Q123" s="299" t="n">
        <v>2010</v>
      </c>
      <c r="R123" s="300" t="n">
        <v>2011</v>
      </c>
    </row>
    <row r="124" customFormat="false" ht="12.75" hidden="false" customHeight="false" outlineLevel="0" collapsed="false">
      <c r="G124" s="526" t="s">
        <v>157</v>
      </c>
      <c r="H124" s="297" t="n">
        <v>1</v>
      </c>
      <c r="I124" s="298" t="n">
        <v>2</v>
      </c>
      <c r="J124" s="298" t="n">
        <v>3</v>
      </c>
      <c r="K124" s="298" t="n">
        <v>4</v>
      </c>
      <c r="L124" s="298" t="n">
        <v>5</v>
      </c>
      <c r="M124" s="298" t="n">
        <v>6</v>
      </c>
      <c r="N124" s="298" t="n">
        <v>7</v>
      </c>
      <c r="O124" s="298" t="n">
        <v>8</v>
      </c>
      <c r="P124" s="298" t="n">
        <v>9</v>
      </c>
      <c r="Q124" s="298" t="n">
        <v>10</v>
      </c>
      <c r="R124" s="302" t="n">
        <v>11</v>
      </c>
    </row>
    <row r="125" customFormat="false" ht="12.75" hidden="false" customHeight="false" outlineLevel="0" collapsed="false">
      <c r="A125" s="475" t="s">
        <v>264</v>
      </c>
      <c r="B125" s="146"/>
      <c r="C125" s="487" t="n">
        <v>987107</v>
      </c>
      <c r="D125" s="310"/>
      <c r="E125" s="470"/>
      <c r="F125" s="470"/>
      <c r="G125" s="310"/>
      <c r="H125" s="530" t="n">
        <v>0.015</v>
      </c>
      <c r="I125" s="531" t="n">
        <f aca="false">+H125</f>
        <v>0.015</v>
      </c>
      <c r="J125" s="531" t="n">
        <f aca="false">I125</f>
        <v>0.015</v>
      </c>
      <c r="K125" s="531" t="n">
        <f aca="false">J125</f>
        <v>0.015</v>
      </c>
      <c r="L125" s="531" t="n">
        <f aca="false">K125</f>
        <v>0.015</v>
      </c>
      <c r="M125" s="531" t="n">
        <f aca="false">L125</f>
        <v>0.015</v>
      </c>
      <c r="N125" s="531" t="n">
        <f aca="false">M125</f>
        <v>0.015</v>
      </c>
      <c r="O125" s="531" t="n">
        <f aca="false">N125</f>
        <v>0.015</v>
      </c>
      <c r="P125" s="531" t="n">
        <f aca="false">O125</f>
        <v>0.015</v>
      </c>
      <c r="Q125" s="531" t="n">
        <f aca="false">P125</f>
        <v>0.015</v>
      </c>
      <c r="R125" s="531" t="n">
        <f aca="false">Q125</f>
        <v>0.015</v>
      </c>
      <c r="S125" s="532" t="n">
        <f aca="false">R125</f>
        <v>0.015</v>
      </c>
    </row>
    <row r="126" customFormat="false" ht="12.75" hidden="false" customHeight="false" outlineLevel="0" collapsed="false">
      <c r="A126" s="187" t="s">
        <v>265</v>
      </c>
      <c r="C126" s="533"/>
      <c r="D126" s="534"/>
      <c r="E126" s="470"/>
      <c r="F126" s="470"/>
      <c r="G126" s="310"/>
      <c r="H126" s="192" t="n">
        <f aca="false">+H128-H127</f>
        <v>19996.765</v>
      </c>
      <c r="I126" s="192" t="n">
        <f aca="false">+H128</f>
        <v>20440</v>
      </c>
      <c r="J126" s="192" t="n">
        <f aca="false">+I126</f>
        <v>20440</v>
      </c>
      <c r="K126" s="192" t="n">
        <f aca="false">+J126</f>
        <v>20440</v>
      </c>
      <c r="L126" s="192" t="n">
        <f aca="false">+K126</f>
        <v>20440</v>
      </c>
      <c r="M126" s="192" t="n">
        <f aca="false">+L126</f>
        <v>20440</v>
      </c>
      <c r="N126" s="192" t="n">
        <f aca="false">+M126</f>
        <v>20440</v>
      </c>
      <c r="O126" s="192" t="n">
        <f aca="false">+N126</f>
        <v>20440</v>
      </c>
      <c r="P126" s="192" t="n">
        <f aca="false">+O126</f>
        <v>20440</v>
      </c>
      <c r="Q126" s="192" t="n">
        <f aca="false">+P126</f>
        <v>20440</v>
      </c>
      <c r="R126" s="192" t="n">
        <f aca="false">+Q126</f>
        <v>20440</v>
      </c>
      <c r="S126" s="192" t="n">
        <f aca="false">+R126</f>
        <v>20440</v>
      </c>
    </row>
    <row r="127" customFormat="false" ht="12.75" hidden="false" customHeight="false" outlineLevel="0" collapsed="false">
      <c r="A127" s="187" t="s">
        <v>266</v>
      </c>
      <c r="D127" s="305"/>
      <c r="E127" s="535"/>
      <c r="F127" s="535"/>
      <c r="G127" s="317"/>
      <c r="H127" s="195" t="n">
        <f aca="false">H149</f>
        <v>443.235</v>
      </c>
      <c r="I127" s="195" t="n">
        <f aca="false">I149</f>
        <v>1464.81</v>
      </c>
      <c r="J127" s="195" t="n">
        <f aca="false">J149</f>
        <v>2385.81</v>
      </c>
      <c r="K127" s="195" t="n">
        <f aca="false">K149</f>
        <v>2685.81</v>
      </c>
      <c r="L127" s="195" t="n">
        <f aca="false">L149</f>
        <v>2985.81</v>
      </c>
      <c r="M127" s="195" t="n">
        <f aca="false">M149</f>
        <v>3285.81</v>
      </c>
      <c r="N127" s="195" t="n">
        <f aca="false">N149</f>
        <v>3585.81</v>
      </c>
      <c r="O127" s="195" t="n">
        <f aca="false">O149</f>
        <v>3885.81</v>
      </c>
      <c r="P127" s="195" t="n">
        <f aca="false">P149</f>
        <v>4185.81</v>
      </c>
      <c r="Q127" s="195" t="n">
        <f aca="false">Q149</f>
        <v>4485.81</v>
      </c>
      <c r="R127" s="195" t="n">
        <f aca="false">R149</f>
        <v>4785.81</v>
      </c>
      <c r="S127" s="195"/>
    </row>
    <row r="128" customFormat="false" ht="12.75" hidden="false" customHeight="false" outlineLevel="0" collapsed="false">
      <c r="A128" s="528" t="s">
        <v>267</v>
      </c>
      <c r="D128" s="545" t="n">
        <f aca="false">D21</f>
        <v>22644</v>
      </c>
      <c r="E128" s="545" t="n">
        <f aca="false">E21</f>
        <v>23137</v>
      </c>
      <c r="F128" s="545" t="n">
        <f aca="false">F21</f>
        <v>23733</v>
      </c>
      <c r="G128" s="545" t="n">
        <f aca="false">G21</f>
        <v>24407</v>
      </c>
      <c r="H128" s="176" t="n">
        <v>20440</v>
      </c>
      <c r="I128" s="176" t="n">
        <f aca="false">SUM(I126:I127)</f>
        <v>21904.81</v>
      </c>
      <c r="J128" s="176" t="n">
        <f aca="false">SUM(J126:J127)</f>
        <v>22825.81</v>
      </c>
      <c r="K128" s="176" t="n">
        <f aca="false">SUM(K126:K127)</f>
        <v>23125.81</v>
      </c>
      <c r="L128" s="176" t="n">
        <f aca="false">SUM(L126:L127)</f>
        <v>23425.81</v>
      </c>
      <c r="M128" s="176" t="n">
        <f aca="false">SUM(M126:M127)</f>
        <v>23725.81</v>
      </c>
      <c r="N128" s="176" t="n">
        <f aca="false">SUM(N126:N127)</f>
        <v>24025.81</v>
      </c>
      <c r="O128" s="176" t="n">
        <f aca="false">SUM(O126:O127)</f>
        <v>24325.81</v>
      </c>
      <c r="P128" s="176" t="n">
        <f aca="false">SUM(P126:P127)</f>
        <v>24625.81</v>
      </c>
      <c r="Q128" s="176" t="n">
        <f aca="false">SUM(Q126:Q127)</f>
        <v>24925.81</v>
      </c>
      <c r="R128" s="176" t="n">
        <f aca="false">SUM(R126:R127)</f>
        <v>25225.81</v>
      </c>
      <c r="S128" s="176"/>
    </row>
    <row r="129" customFormat="false" ht="12.75" hidden="false" customHeight="false" outlineLevel="0" collapsed="false">
      <c r="A129" s="187"/>
      <c r="D129" s="305"/>
      <c r="E129" s="470"/>
      <c r="F129" s="470"/>
      <c r="G129" s="310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</row>
    <row r="130" customFormat="false" ht="12.75" hidden="false" customHeight="false" outlineLevel="0" collapsed="false">
      <c r="A130" s="348" t="s">
        <v>268</v>
      </c>
      <c r="D130" s="305"/>
      <c r="E130" s="470"/>
      <c r="F130" s="470"/>
      <c r="G130" s="310"/>
      <c r="H130" s="546" t="n">
        <v>0.035</v>
      </c>
      <c r="I130" s="547" t="n">
        <v>0.04</v>
      </c>
      <c r="J130" s="547" t="n">
        <v>0.04</v>
      </c>
      <c r="K130" s="547" t="n">
        <f aca="false">J130</f>
        <v>0.04</v>
      </c>
      <c r="L130" s="547" t="n">
        <v>0.03</v>
      </c>
      <c r="M130" s="547" t="n">
        <f aca="false">L130</f>
        <v>0.03</v>
      </c>
      <c r="N130" s="547" t="n">
        <f aca="false">M130</f>
        <v>0.03</v>
      </c>
      <c r="O130" s="547" t="n">
        <f aca="false">N130</f>
        <v>0.03</v>
      </c>
      <c r="P130" s="547" t="n">
        <v>0.02</v>
      </c>
      <c r="Q130" s="547" t="n">
        <f aca="false">P130</f>
        <v>0.02</v>
      </c>
      <c r="R130" s="547" t="n">
        <f aca="false">Q130</f>
        <v>0.02</v>
      </c>
    </row>
    <row r="131" customFormat="false" ht="12.75" hidden="false" customHeight="false" outlineLevel="0" collapsed="false">
      <c r="D131" s="548"/>
      <c r="E131" s="548"/>
      <c r="F131" s="548"/>
      <c r="G131" s="548"/>
      <c r="H131" s="546" t="n">
        <v>0.05</v>
      </c>
      <c r="I131" s="547" t="n">
        <v>0.095</v>
      </c>
      <c r="J131" s="547" t="n">
        <v>0.0855</v>
      </c>
      <c r="K131" s="547" t="n">
        <v>0.077</v>
      </c>
      <c r="L131" s="547" t="n">
        <v>0.0693</v>
      </c>
      <c r="M131" s="547" t="n">
        <v>0.0623</v>
      </c>
      <c r="N131" s="547" t="n">
        <v>0.059</v>
      </c>
      <c r="O131" s="547" t="n">
        <v>0.059</v>
      </c>
      <c r="P131" s="547" t="n">
        <v>0.0591</v>
      </c>
      <c r="Q131" s="547" t="n">
        <v>0.059</v>
      </c>
      <c r="R131" s="549" t="n">
        <v>0.0591</v>
      </c>
      <c r="S131" s="532" t="n">
        <v>0.0591</v>
      </c>
    </row>
    <row r="132" customFormat="false" ht="12.75" hidden="false" customHeight="false" outlineLevel="0" collapsed="false">
      <c r="A132" s="187" t="s">
        <v>265</v>
      </c>
      <c r="B132" s="541"/>
      <c r="D132" s="305"/>
      <c r="E132" s="470"/>
      <c r="F132" s="470"/>
      <c r="G132" s="310"/>
      <c r="H132" s="187" t="n">
        <f aca="false">H130*$C$125</f>
        <v>34548.745</v>
      </c>
      <c r="I132" s="187" t="n">
        <f aca="false">I130*$C$125</f>
        <v>39484.28</v>
      </c>
      <c r="J132" s="187" t="n">
        <f aca="false">J130*$C$125</f>
        <v>39484.28</v>
      </c>
      <c r="K132" s="187" t="n">
        <f aca="false">K130*$C$125</f>
        <v>39484.28</v>
      </c>
      <c r="L132" s="187" t="n">
        <f aca="false">L130*$C$125</f>
        <v>29613.21</v>
      </c>
      <c r="M132" s="187" t="n">
        <f aca="false">M130*$C$125</f>
        <v>29613.21</v>
      </c>
      <c r="N132" s="187" t="n">
        <f aca="false">N130*$C$125</f>
        <v>29613.21</v>
      </c>
      <c r="O132" s="187" t="n">
        <f aca="false">O130*$C$125</f>
        <v>29613.21</v>
      </c>
      <c r="P132" s="187" t="n">
        <f aca="false">P130*$C$125</f>
        <v>19742.14</v>
      </c>
      <c r="Q132" s="187" t="n">
        <f aca="false">Q130*$C$125</f>
        <v>19742.14</v>
      </c>
      <c r="R132" s="187" t="n">
        <f aca="false">R130*$C$125</f>
        <v>19742.14</v>
      </c>
      <c r="S132" s="187" t="n">
        <f aca="false">S131*$C$125</f>
        <v>58338.0237</v>
      </c>
    </row>
    <row r="133" customFormat="false" ht="15" hidden="false" customHeight="false" outlineLevel="0" collapsed="false">
      <c r="A133" s="187" t="s">
        <v>266</v>
      </c>
      <c r="B133" s="466"/>
      <c r="D133" s="305"/>
      <c r="E133" s="477"/>
      <c r="F133" s="477"/>
      <c r="G133" s="310"/>
      <c r="H133" s="339" t="n">
        <f aca="false">H162</f>
        <v>1477.45</v>
      </c>
      <c r="I133" s="339" t="n">
        <f aca="false">I162</f>
        <v>6212.405</v>
      </c>
      <c r="J133" s="339" t="n">
        <f aca="false">J162</f>
        <v>12066.4145</v>
      </c>
      <c r="K133" s="339" t="n">
        <f aca="false">K162</f>
        <v>14931.2505</v>
      </c>
      <c r="L133" s="339" t="n">
        <f aca="false">L162</f>
        <v>15441.5307</v>
      </c>
      <c r="M133" s="339" t="n">
        <f aca="false">M162</f>
        <v>15898.3792</v>
      </c>
      <c r="N133" s="339" t="n">
        <f aca="false">N162</f>
        <v>16391.3525</v>
      </c>
      <c r="O133" s="339" t="n">
        <f aca="false">O162</f>
        <v>17122.806</v>
      </c>
      <c r="P133" s="339" t="n">
        <f aca="false">P162</f>
        <v>18169.1409</v>
      </c>
      <c r="Q133" s="339" t="n">
        <f aca="false">Q162</f>
        <v>19352.9965</v>
      </c>
      <c r="R133" s="339" t="n">
        <f aca="false">R162</f>
        <v>20535.2809</v>
      </c>
      <c r="S133" s="339"/>
    </row>
    <row r="134" customFormat="false" ht="12.75" hidden="false" customHeight="false" outlineLevel="0" collapsed="false">
      <c r="A134" s="528" t="s">
        <v>269</v>
      </c>
      <c r="C134" s="550" t="n">
        <v>1.5</v>
      </c>
      <c r="D134" s="551" t="n">
        <f aca="false">D128*$C$134</f>
        <v>33966</v>
      </c>
      <c r="E134" s="551" t="n">
        <f aca="false">E128*$C$134</f>
        <v>34705.5</v>
      </c>
      <c r="F134" s="551" t="n">
        <f aca="false">F128*$C$134</f>
        <v>35599.5</v>
      </c>
      <c r="G134" s="551" t="n">
        <f aca="false">G128*$C$134</f>
        <v>36610.5</v>
      </c>
      <c r="H134" s="187" t="n">
        <f aca="false">SUM(H132:H133)</f>
        <v>36026.195</v>
      </c>
      <c r="I134" s="187" t="n">
        <f aca="false">SUM(I132:I133)</f>
        <v>45696.685</v>
      </c>
      <c r="J134" s="187" t="n">
        <f aca="false">SUM(J132:J133)</f>
        <v>51550.6945</v>
      </c>
      <c r="K134" s="187" t="n">
        <f aca="false">SUM(K132:K133)</f>
        <v>54415.5305</v>
      </c>
      <c r="L134" s="187" t="n">
        <f aca="false">SUM(L132:L133)</f>
        <v>45054.7407</v>
      </c>
      <c r="M134" s="187" t="n">
        <f aca="false">SUM(M132:M133)</f>
        <v>45511.5892</v>
      </c>
      <c r="N134" s="187" t="n">
        <f aca="false">SUM(N132:N133)</f>
        <v>46004.5625</v>
      </c>
      <c r="O134" s="187" t="n">
        <f aca="false">SUM(O132:O133)</f>
        <v>46736.016</v>
      </c>
      <c r="P134" s="187" t="n">
        <f aca="false">SUM(P132:P133)</f>
        <v>37911.2809</v>
      </c>
      <c r="Q134" s="187" t="n">
        <f aca="false">SUM(Q132:Q133)</f>
        <v>39095.1365</v>
      </c>
      <c r="R134" s="187" t="n">
        <f aca="false">SUM(R132:R133)</f>
        <v>40277.4209</v>
      </c>
      <c r="S134" s="187"/>
    </row>
    <row r="135" customFormat="false" ht="12.75" hidden="false" customHeight="false" outlineLevel="0" collapsed="false">
      <c r="D135" s="187" t="n">
        <f aca="false">(D134-D128)*0.385</f>
        <v>4358.97</v>
      </c>
      <c r="E135" s="187" t="n">
        <f aca="false">(E134-E128)*0.385</f>
        <v>4453.8725</v>
      </c>
      <c r="F135" s="187" t="n">
        <f aca="false">(F134-F128)*0.385</f>
        <v>4568.6025</v>
      </c>
      <c r="G135" s="187" t="n">
        <f aca="false">(G134-G128)*0.385</f>
        <v>4698.3475</v>
      </c>
      <c r="H135" s="187" t="n">
        <f aca="false">(H134-H128)*0.385</f>
        <v>6000.685075</v>
      </c>
      <c r="I135" s="187" t="n">
        <f aca="false">(I134-I128)*0.385</f>
        <v>9159.871875</v>
      </c>
      <c r="J135" s="187" t="n">
        <f aca="false">(J134-J128)*0.385</f>
        <v>11059.0805325</v>
      </c>
      <c r="K135" s="187" t="n">
        <f aca="false">(K134-K128)*0.385</f>
        <v>12046.5423925</v>
      </c>
      <c r="L135" s="187" t="n">
        <f aca="false">(L134-L128)*0.385</f>
        <v>8327.1383195</v>
      </c>
      <c r="M135" s="187" t="n">
        <f aca="false">(M134-M128)*0.385</f>
        <v>8387.524992</v>
      </c>
      <c r="N135" s="187" t="n">
        <f aca="false">(N134-N128)*0.385</f>
        <v>8461.8197125</v>
      </c>
      <c r="O135" s="187" t="n">
        <f aca="false">(O134-O128)*0.385</f>
        <v>8627.92931</v>
      </c>
      <c r="P135" s="187" t="n">
        <f aca="false">(P134-P128)*0.385</f>
        <v>5114.9062965</v>
      </c>
      <c r="Q135" s="187" t="n">
        <f aca="false">(Q134-Q128)*0.385</f>
        <v>5455.1907025</v>
      </c>
      <c r="R135" s="187" t="n">
        <f aca="false">(R134-R128)*0.385</f>
        <v>5794.8701965</v>
      </c>
    </row>
    <row r="136" customFormat="false" ht="12.75" hidden="true" customHeight="false" outlineLevel="1" collapsed="false">
      <c r="A136" s="0" t="s">
        <v>270</v>
      </c>
    </row>
    <row r="137" customFormat="false" ht="12.75" hidden="true" customHeight="false" outlineLevel="1" collapsed="false">
      <c r="H137" s="297" t="n">
        <v>2001</v>
      </c>
      <c r="I137" s="298" t="n">
        <v>2002</v>
      </c>
      <c r="J137" s="298" t="n">
        <v>2003</v>
      </c>
      <c r="K137" s="298" t="n">
        <v>2004</v>
      </c>
      <c r="L137" s="298" t="n">
        <v>2005</v>
      </c>
      <c r="M137" s="298" t="n">
        <v>2006</v>
      </c>
      <c r="N137" s="299" t="n">
        <v>2007</v>
      </c>
      <c r="O137" s="299" t="n">
        <v>2008</v>
      </c>
      <c r="P137" s="299" t="n">
        <v>2009</v>
      </c>
      <c r="Q137" s="299" t="n">
        <v>2010</v>
      </c>
      <c r="R137" s="543" t="n">
        <v>2011</v>
      </c>
    </row>
    <row r="138" customFormat="false" ht="12.75" hidden="true" customHeight="false" outlineLevel="1" collapsed="false">
      <c r="A138" s="0" t="n">
        <v>2000</v>
      </c>
      <c r="B138" s="0" t="s">
        <v>273</v>
      </c>
      <c r="H138" s="185" t="n">
        <f aca="false">G$107*H$125</f>
        <v>443.235</v>
      </c>
      <c r="I138" s="185" t="n">
        <f aca="false">H138</f>
        <v>443.235</v>
      </c>
      <c r="J138" s="185" t="n">
        <f aca="false">I138</f>
        <v>443.235</v>
      </c>
      <c r="K138" s="185" t="n">
        <f aca="false">J138</f>
        <v>443.235</v>
      </c>
      <c r="L138" s="185" t="n">
        <f aca="false">K138</f>
        <v>443.235</v>
      </c>
      <c r="M138" s="185" t="n">
        <f aca="false">L138</f>
        <v>443.235</v>
      </c>
      <c r="N138" s="185" t="n">
        <f aca="false">M138</f>
        <v>443.235</v>
      </c>
      <c r="O138" s="185" t="n">
        <f aca="false">N138</f>
        <v>443.235</v>
      </c>
      <c r="P138" s="185" t="n">
        <f aca="false">O138</f>
        <v>443.235</v>
      </c>
      <c r="Q138" s="185" t="n">
        <f aca="false">P138</f>
        <v>443.235</v>
      </c>
      <c r="R138" s="185" t="n">
        <f aca="false">Q138</f>
        <v>443.235</v>
      </c>
    </row>
    <row r="139" customFormat="false" ht="12.75" hidden="true" customHeight="false" outlineLevel="1" collapsed="false">
      <c r="A139" s="0" t="n">
        <v>2001</v>
      </c>
      <c r="B139" s="0" t="s">
        <v>273</v>
      </c>
      <c r="H139" s="185"/>
      <c r="I139" s="185" t="n">
        <f aca="false">H$107*I$125</f>
        <v>1021.575</v>
      </c>
      <c r="J139" s="185" t="n">
        <f aca="false">I139</f>
        <v>1021.575</v>
      </c>
      <c r="K139" s="185" t="n">
        <f aca="false">J139</f>
        <v>1021.575</v>
      </c>
      <c r="L139" s="185" t="n">
        <f aca="false">K139</f>
        <v>1021.575</v>
      </c>
      <c r="M139" s="185" t="n">
        <f aca="false">L139</f>
        <v>1021.575</v>
      </c>
      <c r="N139" s="185" t="n">
        <f aca="false">M139</f>
        <v>1021.575</v>
      </c>
      <c r="O139" s="185" t="n">
        <f aca="false">N139</f>
        <v>1021.575</v>
      </c>
      <c r="P139" s="185" t="n">
        <f aca="false">O139</f>
        <v>1021.575</v>
      </c>
      <c r="Q139" s="185" t="n">
        <f aca="false">P139</f>
        <v>1021.575</v>
      </c>
      <c r="R139" s="185" t="n">
        <f aca="false">Q139</f>
        <v>1021.575</v>
      </c>
    </row>
    <row r="140" customFormat="false" ht="12.75" hidden="true" customHeight="false" outlineLevel="1" collapsed="false">
      <c r="A140" s="0" t="n">
        <v>2002</v>
      </c>
      <c r="B140" s="0" t="s">
        <v>273</v>
      </c>
      <c r="H140" s="185"/>
      <c r="I140" s="185"/>
      <c r="J140" s="185" t="n">
        <f aca="false">I$107*J$125</f>
        <v>921</v>
      </c>
      <c r="K140" s="185" t="n">
        <f aca="false">J140</f>
        <v>921</v>
      </c>
      <c r="L140" s="185" t="n">
        <f aca="false">K140</f>
        <v>921</v>
      </c>
      <c r="M140" s="185" t="n">
        <f aca="false">L140</f>
        <v>921</v>
      </c>
      <c r="N140" s="185" t="n">
        <f aca="false">M140</f>
        <v>921</v>
      </c>
      <c r="O140" s="185" t="n">
        <f aca="false">N140</f>
        <v>921</v>
      </c>
      <c r="P140" s="185" t="n">
        <f aca="false">O140</f>
        <v>921</v>
      </c>
      <c r="Q140" s="185" t="n">
        <f aca="false">P140</f>
        <v>921</v>
      </c>
      <c r="R140" s="185" t="n">
        <f aca="false">Q140</f>
        <v>921</v>
      </c>
    </row>
    <row r="141" customFormat="false" ht="12.75" hidden="true" customHeight="false" outlineLevel="1" collapsed="false">
      <c r="A141" s="0" t="n">
        <v>2003</v>
      </c>
      <c r="B141" s="0" t="s">
        <v>273</v>
      </c>
      <c r="H141" s="185"/>
      <c r="I141" s="185"/>
      <c r="J141" s="185"/>
      <c r="K141" s="185" t="n">
        <f aca="false">J$107*K$125</f>
        <v>300</v>
      </c>
      <c r="L141" s="185" t="n">
        <f aca="false">K141</f>
        <v>300</v>
      </c>
      <c r="M141" s="185" t="n">
        <f aca="false">L141</f>
        <v>300</v>
      </c>
      <c r="N141" s="185" t="n">
        <f aca="false">M141</f>
        <v>300</v>
      </c>
      <c r="O141" s="185" t="n">
        <f aca="false">N141</f>
        <v>300</v>
      </c>
      <c r="P141" s="185" t="n">
        <f aca="false">O141</f>
        <v>300</v>
      </c>
      <c r="Q141" s="185" t="n">
        <f aca="false">P141</f>
        <v>300</v>
      </c>
      <c r="R141" s="185" t="n">
        <f aca="false">Q141</f>
        <v>300</v>
      </c>
    </row>
    <row r="142" customFormat="false" ht="12.75" hidden="true" customHeight="false" outlineLevel="1" collapsed="false">
      <c r="A142" s="0" t="n">
        <v>2004</v>
      </c>
      <c r="B142" s="0" t="s">
        <v>273</v>
      </c>
      <c r="H142" s="185"/>
      <c r="I142" s="185"/>
      <c r="J142" s="185"/>
      <c r="K142" s="185"/>
      <c r="L142" s="185" t="n">
        <f aca="false">K$107*L$125</f>
        <v>300</v>
      </c>
      <c r="M142" s="185" t="n">
        <f aca="false">L142</f>
        <v>300</v>
      </c>
      <c r="N142" s="185" t="n">
        <f aca="false">M142</f>
        <v>300</v>
      </c>
      <c r="O142" s="185" t="n">
        <f aca="false">N142</f>
        <v>300</v>
      </c>
      <c r="P142" s="185" t="n">
        <f aca="false">O142</f>
        <v>300</v>
      </c>
      <c r="Q142" s="185" t="n">
        <f aca="false">P142</f>
        <v>300</v>
      </c>
      <c r="R142" s="185" t="n">
        <f aca="false">Q142</f>
        <v>300</v>
      </c>
    </row>
    <row r="143" customFormat="false" ht="12.75" hidden="true" customHeight="false" outlineLevel="1" collapsed="false">
      <c r="A143" s="0" t="n">
        <v>2005</v>
      </c>
      <c r="B143" s="0" t="s">
        <v>273</v>
      </c>
      <c r="H143" s="185"/>
      <c r="I143" s="185"/>
      <c r="J143" s="185"/>
      <c r="K143" s="185"/>
      <c r="L143" s="185"/>
      <c r="M143" s="185" t="n">
        <f aca="false">L$107*M$125</f>
        <v>300</v>
      </c>
      <c r="N143" s="185" t="n">
        <f aca="false">M143</f>
        <v>300</v>
      </c>
      <c r="O143" s="185" t="n">
        <f aca="false">N143</f>
        <v>300</v>
      </c>
      <c r="P143" s="185" t="n">
        <f aca="false">O143</f>
        <v>300</v>
      </c>
      <c r="Q143" s="185" t="n">
        <f aca="false">P143</f>
        <v>300</v>
      </c>
      <c r="R143" s="185" t="n">
        <f aca="false">Q143</f>
        <v>300</v>
      </c>
    </row>
    <row r="144" customFormat="false" ht="12.75" hidden="true" customHeight="false" outlineLevel="1" collapsed="false">
      <c r="A144" s="0" t="n">
        <v>2006</v>
      </c>
      <c r="B144" s="0" t="s">
        <v>273</v>
      </c>
      <c r="H144" s="185"/>
      <c r="I144" s="185"/>
      <c r="J144" s="185"/>
      <c r="K144" s="185"/>
      <c r="L144" s="185"/>
      <c r="M144" s="185"/>
      <c r="N144" s="185" t="n">
        <f aca="false">M$107*N$125</f>
        <v>300</v>
      </c>
      <c r="O144" s="185" t="n">
        <f aca="false">N144</f>
        <v>300</v>
      </c>
      <c r="P144" s="185" t="n">
        <f aca="false">O144</f>
        <v>300</v>
      </c>
      <c r="Q144" s="185" t="n">
        <f aca="false">P144</f>
        <v>300</v>
      </c>
      <c r="R144" s="185" t="n">
        <f aca="false">Q144</f>
        <v>300</v>
      </c>
    </row>
    <row r="145" customFormat="false" ht="12.75" hidden="true" customHeight="false" outlineLevel="1" collapsed="false">
      <c r="A145" s="0" t="n">
        <v>2007</v>
      </c>
      <c r="B145" s="0" t="s">
        <v>273</v>
      </c>
      <c r="H145" s="185"/>
      <c r="I145" s="185"/>
      <c r="J145" s="185"/>
      <c r="K145" s="185"/>
      <c r="L145" s="185"/>
      <c r="M145" s="185"/>
      <c r="N145" s="185"/>
      <c r="O145" s="185" t="n">
        <f aca="false">N$107*O$125</f>
        <v>300</v>
      </c>
      <c r="P145" s="185" t="n">
        <f aca="false">O145</f>
        <v>300</v>
      </c>
      <c r="Q145" s="185" t="n">
        <f aca="false">P145</f>
        <v>300</v>
      </c>
      <c r="R145" s="185" t="n">
        <f aca="false">Q145</f>
        <v>300</v>
      </c>
    </row>
    <row r="146" customFormat="false" ht="12.75" hidden="true" customHeight="false" outlineLevel="1" collapsed="false">
      <c r="A146" s="0" t="n">
        <v>2008</v>
      </c>
      <c r="B146" s="0" t="s">
        <v>273</v>
      </c>
      <c r="H146" s="185"/>
      <c r="I146" s="185"/>
      <c r="J146" s="185"/>
      <c r="K146" s="185"/>
      <c r="L146" s="185"/>
      <c r="M146" s="185"/>
      <c r="N146" s="185"/>
      <c r="O146" s="185"/>
      <c r="P146" s="185" t="n">
        <f aca="false">O$107*P$125</f>
        <v>300</v>
      </c>
      <c r="Q146" s="185" t="n">
        <f aca="false">P146</f>
        <v>300</v>
      </c>
      <c r="R146" s="185" t="n">
        <f aca="false">Q146</f>
        <v>300</v>
      </c>
    </row>
    <row r="147" customFormat="false" ht="12.75" hidden="true" customHeight="false" outlineLevel="1" collapsed="false">
      <c r="A147" s="0" t="n">
        <v>2009</v>
      </c>
      <c r="B147" s="0" t="s">
        <v>273</v>
      </c>
      <c r="H147" s="185"/>
      <c r="I147" s="185"/>
      <c r="J147" s="185"/>
      <c r="K147" s="185"/>
      <c r="L147" s="185"/>
      <c r="M147" s="185"/>
      <c r="N147" s="185"/>
      <c r="O147" s="185"/>
      <c r="P147" s="185"/>
      <c r="Q147" s="185" t="n">
        <f aca="false">P$107*Q$125</f>
        <v>300</v>
      </c>
      <c r="R147" s="185" t="n">
        <f aca="false">Q147</f>
        <v>300</v>
      </c>
    </row>
    <row r="148" customFormat="false" ht="12.75" hidden="true" customHeight="false" outlineLevel="1" collapsed="false">
      <c r="A148" s="0" t="n">
        <v>2010</v>
      </c>
      <c r="B148" s="0" t="s">
        <v>273</v>
      </c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 t="n">
        <f aca="false">Q$107*R$125</f>
        <v>300</v>
      </c>
    </row>
    <row r="149" customFormat="false" ht="12.75" hidden="true" customHeight="false" outlineLevel="1" collapsed="false">
      <c r="A149" s="0" t="s">
        <v>267</v>
      </c>
      <c r="H149" s="544" t="n">
        <f aca="false">SUM(H138:H148)</f>
        <v>443.235</v>
      </c>
      <c r="I149" s="544" t="n">
        <f aca="false">SUM(I138:I148)</f>
        <v>1464.81</v>
      </c>
      <c r="J149" s="544" t="n">
        <f aca="false">SUM(J138:J148)</f>
        <v>2385.81</v>
      </c>
      <c r="K149" s="544" t="n">
        <f aca="false">SUM(K138:K148)</f>
        <v>2685.81</v>
      </c>
      <c r="L149" s="544" t="n">
        <f aca="false">SUM(L138:L148)</f>
        <v>2985.81</v>
      </c>
      <c r="M149" s="544" t="n">
        <f aca="false">SUM(M138:M148)</f>
        <v>3285.81</v>
      </c>
      <c r="N149" s="544" t="n">
        <f aca="false">SUM(N138:N148)</f>
        <v>3585.81</v>
      </c>
      <c r="O149" s="544" t="n">
        <f aca="false">SUM(O138:O148)</f>
        <v>3885.81</v>
      </c>
      <c r="P149" s="544" t="n">
        <f aca="false">SUM(P138:P148)</f>
        <v>4185.81</v>
      </c>
      <c r="Q149" s="544" t="n">
        <f aca="false">SUM(Q138:Q148)</f>
        <v>4485.81</v>
      </c>
      <c r="R149" s="544" t="n">
        <f aca="false">SUM(R138:R148)</f>
        <v>4785.81</v>
      </c>
    </row>
    <row r="150" customFormat="false" ht="12.75" hidden="true" customHeight="false" outlineLevel="1" collapsed="false"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</row>
    <row r="151" customFormat="false" ht="12.75" hidden="true" customHeight="false" outlineLevel="1" collapsed="false">
      <c r="A151" s="0" t="n">
        <v>2000</v>
      </c>
      <c r="B151" s="0" t="s">
        <v>273</v>
      </c>
      <c r="H151" s="185" t="n">
        <f aca="false">$G$107*H$131</f>
        <v>1477.45</v>
      </c>
      <c r="I151" s="185" t="n">
        <f aca="false">$G$107*I$131</f>
        <v>2807.155</v>
      </c>
      <c r="J151" s="185" t="n">
        <f aca="false">$G$107*J$131</f>
        <v>2526.4395</v>
      </c>
      <c r="K151" s="185" t="n">
        <f aca="false">$G$107*K$131</f>
        <v>2275.273</v>
      </c>
      <c r="L151" s="185" t="n">
        <f aca="false">$G$107*L$131</f>
        <v>2047.7457</v>
      </c>
      <c r="M151" s="185" t="n">
        <f aca="false">$G$107*M$131</f>
        <v>1840.9027</v>
      </c>
      <c r="N151" s="185" t="n">
        <f aca="false">$G$107*N$131</f>
        <v>1743.391</v>
      </c>
      <c r="O151" s="185" t="n">
        <f aca="false">$G$107*O$131</f>
        <v>1743.391</v>
      </c>
      <c r="P151" s="185" t="n">
        <f aca="false">$G$107*P$131</f>
        <v>1746.3459</v>
      </c>
      <c r="Q151" s="185" t="n">
        <f aca="false">$G$107*Q$131</f>
        <v>1743.391</v>
      </c>
      <c r="R151" s="185" t="n">
        <f aca="false">$G$107*R$131</f>
        <v>1746.3459</v>
      </c>
    </row>
    <row r="152" customFormat="false" ht="12.75" hidden="true" customHeight="false" outlineLevel="1" collapsed="false">
      <c r="A152" s="0" t="n">
        <v>2001</v>
      </c>
      <c r="B152" s="0" t="s">
        <v>273</v>
      </c>
      <c r="H152" s="185"/>
      <c r="I152" s="185" t="n">
        <f aca="false">$H$107*H$131</f>
        <v>3405.25</v>
      </c>
      <c r="J152" s="185" t="n">
        <f aca="false">$H$107*I$131</f>
        <v>6469.975</v>
      </c>
      <c r="K152" s="185" t="n">
        <f aca="false">$H$107*J$131</f>
        <v>5822.9775</v>
      </c>
      <c r="L152" s="185" t="n">
        <f aca="false">$H$107*K$131</f>
        <v>5244.085</v>
      </c>
      <c r="M152" s="185" t="n">
        <f aca="false">$H$107*L$131</f>
        <v>4719.6765</v>
      </c>
      <c r="N152" s="185" t="n">
        <f aca="false">$H$107*M$131</f>
        <v>4242.9415</v>
      </c>
      <c r="O152" s="185" t="n">
        <f aca="false">$H$107*N$131</f>
        <v>4018.195</v>
      </c>
      <c r="P152" s="185" t="n">
        <f aca="false">$H$107*O$131</f>
        <v>4018.195</v>
      </c>
      <c r="Q152" s="185" t="n">
        <f aca="false">$H$107*P$131</f>
        <v>4025.0055</v>
      </c>
      <c r="R152" s="185" t="n">
        <f aca="false">$H$107*Q$131</f>
        <v>4018.195</v>
      </c>
    </row>
    <row r="153" customFormat="false" ht="12.75" hidden="true" customHeight="false" outlineLevel="1" collapsed="false">
      <c r="A153" s="0" t="n">
        <v>2002</v>
      </c>
      <c r="B153" s="0" t="s">
        <v>273</v>
      </c>
      <c r="H153" s="185"/>
      <c r="I153" s="185"/>
      <c r="J153" s="185" t="n">
        <f aca="false">$I$107*H$131</f>
        <v>3070</v>
      </c>
      <c r="K153" s="185" t="n">
        <f aca="false">$I$107*I$131</f>
        <v>5833</v>
      </c>
      <c r="L153" s="185" t="n">
        <f aca="false">$I$107*J$131</f>
        <v>5249.7</v>
      </c>
      <c r="M153" s="185" t="n">
        <f aca="false">$I$107*K$131</f>
        <v>4727.8</v>
      </c>
      <c r="N153" s="185" t="n">
        <f aca="false">$I$107*L$131</f>
        <v>4255.02</v>
      </c>
      <c r="O153" s="185" t="n">
        <f aca="false">$I$107*M$131</f>
        <v>3825.22</v>
      </c>
      <c r="P153" s="185" t="n">
        <f aca="false">$I$107*N$131</f>
        <v>3622.6</v>
      </c>
      <c r="Q153" s="185" t="n">
        <f aca="false">$I$107*O$131</f>
        <v>3622.6</v>
      </c>
      <c r="R153" s="185" t="n">
        <f aca="false">$I$107*P$131</f>
        <v>3628.74</v>
      </c>
    </row>
    <row r="154" customFormat="false" ht="12.75" hidden="true" customHeight="false" outlineLevel="1" collapsed="false">
      <c r="A154" s="0" t="n">
        <v>2003</v>
      </c>
      <c r="B154" s="0" t="s">
        <v>273</v>
      </c>
      <c r="H154" s="185"/>
      <c r="I154" s="185"/>
      <c r="J154" s="185"/>
      <c r="K154" s="185" t="n">
        <f aca="false">$J$107*H$131</f>
        <v>1000</v>
      </c>
      <c r="L154" s="185" t="n">
        <f aca="false">$J$107*I$131</f>
        <v>1900</v>
      </c>
      <c r="M154" s="185" t="n">
        <f aca="false">$J$107*J$131</f>
        <v>1710</v>
      </c>
      <c r="N154" s="185" t="n">
        <f aca="false">$J$107*K$131</f>
        <v>1540</v>
      </c>
      <c r="O154" s="185" t="n">
        <f aca="false">$J$107*L$131</f>
        <v>1386</v>
      </c>
      <c r="P154" s="185" t="n">
        <f aca="false">$J$107*M$131</f>
        <v>1246</v>
      </c>
      <c r="Q154" s="185" t="n">
        <f aca="false">$J$107*N$131</f>
        <v>1180</v>
      </c>
      <c r="R154" s="185" t="n">
        <f aca="false">$J$107*O$131</f>
        <v>1180</v>
      </c>
    </row>
    <row r="155" customFormat="false" ht="12.75" hidden="true" customHeight="false" outlineLevel="1" collapsed="false">
      <c r="A155" s="0" t="n">
        <v>2004</v>
      </c>
      <c r="B155" s="0" t="s">
        <v>273</v>
      </c>
      <c r="H155" s="185"/>
      <c r="I155" s="185"/>
      <c r="J155" s="185"/>
      <c r="K155" s="185"/>
      <c r="L155" s="185" t="n">
        <f aca="false">$K$107*H$131</f>
        <v>1000</v>
      </c>
      <c r="M155" s="185" t="n">
        <f aca="false">$K$107*I$131</f>
        <v>1900</v>
      </c>
      <c r="N155" s="185" t="n">
        <f aca="false">$K$107*J$131</f>
        <v>1710</v>
      </c>
      <c r="O155" s="185" t="n">
        <f aca="false">$K$107*K$131</f>
        <v>1540</v>
      </c>
      <c r="P155" s="185" t="n">
        <f aca="false">$K$107*L$131</f>
        <v>1386</v>
      </c>
      <c r="Q155" s="185" t="n">
        <f aca="false">$K$107*M$131</f>
        <v>1246</v>
      </c>
      <c r="R155" s="185" t="n">
        <f aca="false">$K$107*N$131</f>
        <v>1180</v>
      </c>
    </row>
    <row r="156" customFormat="false" ht="12.75" hidden="true" customHeight="false" outlineLevel="1" collapsed="false">
      <c r="A156" s="0" t="n">
        <v>2005</v>
      </c>
      <c r="B156" s="0" t="s">
        <v>273</v>
      </c>
      <c r="H156" s="185"/>
      <c r="I156" s="185"/>
      <c r="J156" s="185"/>
      <c r="K156" s="185"/>
      <c r="L156" s="185"/>
      <c r="M156" s="185" t="n">
        <f aca="false">$L$107*H$131</f>
        <v>1000</v>
      </c>
      <c r="N156" s="185" t="n">
        <f aca="false">$L$107*I$131</f>
        <v>1900</v>
      </c>
      <c r="O156" s="185" t="n">
        <f aca="false">$L$107*J$131</f>
        <v>1710</v>
      </c>
      <c r="P156" s="185" t="n">
        <f aca="false">$L$107*K$131</f>
        <v>1540</v>
      </c>
      <c r="Q156" s="185" t="n">
        <f aca="false">$L$107*L$131</f>
        <v>1386</v>
      </c>
      <c r="R156" s="185" t="n">
        <f aca="false">$L$107*M$131</f>
        <v>1246</v>
      </c>
    </row>
    <row r="157" customFormat="false" ht="12.75" hidden="true" customHeight="false" outlineLevel="1" collapsed="false">
      <c r="A157" s="0" t="n">
        <v>2006</v>
      </c>
      <c r="B157" s="0" t="s">
        <v>273</v>
      </c>
      <c r="H157" s="185"/>
      <c r="I157" s="185"/>
      <c r="J157" s="185"/>
      <c r="K157" s="185"/>
      <c r="L157" s="185"/>
      <c r="M157" s="185"/>
      <c r="N157" s="185" t="n">
        <f aca="false">$M$107*H$131</f>
        <v>1000</v>
      </c>
      <c r="O157" s="185" t="n">
        <f aca="false">$M$107*I$131</f>
        <v>1900</v>
      </c>
      <c r="P157" s="185" t="n">
        <f aca="false">$M$107*J$131</f>
        <v>1710</v>
      </c>
      <c r="Q157" s="185" t="n">
        <f aca="false">$M$107*K$131</f>
        <v>1540</v>
      </c>
      <c r="R157" s="185" t="n">
        <f aca="false">$M$107*L$131</f>
        <v>1386</v>
      </c>
    </row>
    <row r="158" customFormat="false" ht="12.75" hidden="true" customHeight="false" outlineLevel="1" collapsed="false">
      <c r="A158" s="0" t="n">
        <v>2007</v>
      </c>
      <c r="B158" s="0" t="s">
        <v>273</v>
      </c>
      <c r="H158" s="185"/>
      <c r="I158" s="185"/>
      <c r="J158" s="185"/>
      <c r="K158" s="185"/>
      <c r="L158" s="185"/>
      <c r="M158" s="185"/>
      <c r="N158" s="185"/>
      <c r="O158" s="185" t="n">
        <f aca="false">$N$107*H$131</f>
        <v>1000</v>
      </c>
      <c r="P158" s="185" t="n">
        <f aca="false">$N$107*I$131</f>
        <v>1900</v>
      </c>
      <c r="Q158" s="185" t="n">
        <f aca="false">$N$107*J$131</f>
        <v>1710</v>
      </c>
      <c r="R158" s="185" t="n">
        <f aca="false">$N$107*K$131</f>
        <v>1540</v>
      </c>
    </row>
    <row r="159" customFormat="false" ht="12.75" hidden="true" customHeight="false" outlineLevel="1" collapsed="false">
      <c r="A159" s="0" t="n">
        <v>2008</v>
      </c>
      <c r="B159" s="0" t="s">
        <v>273</v>
      </c>
      <c r="H159" s="185"/>
      <c r="I159" s="185"/>
      <c r="J159" s="185"/>
      <c r="K159" s="185"/>
      <c r="L159" s="185"/>
      <c r="M159" s="185"/>
      <c r="N159" s="185"/>
      <c r="O159" s="185"/>
      <c r="P159" s="185" t="n">
        <f aca="false">$O$107*H$131</f>
        <v>1000</v>
      </c>
      <c r="Q159" s="185" t="n">
        <f aca="false">$O$107*I$131</f>
        <v>1900</v>
      </c>
      <c r="R159" s="185" t="n">
        <f aca="false">$O$107*J$131</f>
        <v>1710</v>
      </c>
    </row>
    <row r="160" customFormat="false" ht="12.75" hidden="true" customHeight="false" outlineLevel="1" collapsed="false">
      <c r="A160" s="0" t="n">
        <v>2009</v>
      </c>
      <c r="B160" s="0" t="s">
        <v>273</v>
      </c>
      <c r="H160" s="185"/>
      <c r="I160" s="185"/>
      <c r="J160" s="185"/>
      <c r="K160" s="185"/>
      <c r="L160" s="185"/>
      <c r="M160" s="185"/>
      <c r="N160" s="185"/>
      <c r="O160" s="185"/>
      <c r="P160" s="185"/>
      <c r="Q160" s="185" t="n">
        <f aca="false">$P$107*H$131</f>
        <v>1000</v>
      </c>
      <c r="R160" s="185" t="n">
        <f aca="false">$P$107*I$131</f>
        <v>1900</v>
      </c>
    </row>
    <row r="161" customFormat="false" ht="12.75" hidden="true" customHeight="false" outlineLevel="1" collapsed="false">
      <c r="A161" s="0" t="n">
        <v>2010</v>
      </c>
      <c r="B161" s="0" t="s">
        <v>273</v>
      </c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 t="n">
        <f aca="false">Q$107*H$131</f>
        <v>1000</v>
      </c>
    </row>
    <row r="162" customFormat="false" ht="12.75" hidden="true" customHeight="false" outlineLevel="1" collapsed="false">
      <c r="H162" s="544" t="n">
        <f aca="false">SUM(H151:H161)</f>
        <v>1477.45</v>
      </c>
      <c r="I162" s="544" t="n">
        <f aca="false">SUM(I151:I161)</f>
        <v>6212.405</v>
      </c>
      <c r="J162" s="544" t="n">
        <f aca="false">SUM(J151:J161)</f>
        <v>12066.4145</v>
      </c>
      <c r="K162" s="544" t="n">
        <f aca="false">SUM(K151:K161)</f>
        <v>14931.2505</v>
      </c>
      <c r="L162" s="544" t="n">
        <f aca="false">SUM(L151:L161)</f>
        <v>15441.5307</v>
      </c>
      <c r="M162" s="544" t="n">
        <f aca="false">SUM(M151:M161)</f>
        <v>15898.3792</v>
      </c>
      <c r="N162" s="544" t="n">
        <f aca="false">SUM(N151:N161)</f>
        <v>16391.3525</v>
      </c>
      <c r="O162" s="544" t="n">
        <f aca="false">SUM(O151:O161)</f>
        <v>17122.806</v>
      </c>
      <c r="P162" s="544" t="n">
        <f aca="false">SUM(P151:P161)</f>
        <v>18169.1409</v>
      </c>
      <c r="Q162" s="544" t="n">
        <f aca="false">SUM(Q151:Q161)</f>
        <v>19352.9965</v>
      </c>
      <c r="R162" s="544" t="n">
        <f aca="false">SUM(R151:R161)</f>
        <v>20535.2809</v>
      </c>
    </row>
    <row r="163" customFormat="false" ht="12.75" hidden="false" customHeight="false" outlineLevel="0" collapsed="false">
      <c r="D163" s="187" t="n">
        <v>-3661</v>
      </c>
      <c r="E163" s="187" t="n">
        <v>6524</v>
      </c>
      <c r="F163" s="187" t="n">
        <v>1383</v>
      </c>
      <c r="G163" s="187" t="n">
        <v>4314</v>
      </c>
    </row>
  </sheetData>
  <mergeCells count="1">
    <mergeCell ref="L40:N40"/>
  </mergeCells>
  <conditionalFormatting sqref="C11">
    <cfRule type="cellIs" priority="2" operator="notBetween" aboveAverage="0" equalAverage="0" bottom="0" percent="0" rank="0" text="" dxfId="2">
      <formula>0.25</formula>
      <formula>-0.25</formula>
    </cfRule>
  </conditionalFormatting>
  <printOptions headings="false" gridLines="false" gridLinesSet="true" horizontalCentered="false" verticalCentered="false"/>
  <pageMargins left="0" right="0" top="0" bottom="0.25" header="0.511811023622047" footer="0.2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&amp;L&amp;F&amp;C&amp;A&amp;R&amp;D, &amp;T</oddFooter>
  </headerFooter>
  <rowBreaks count="1" manualBreakCount="1">
    <brk id="47" man="true" max="16383" min="0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2000-03-08T23:13:06Z</dcterms:created>
  <dc:creator>MLR</dc:creator>
  <dc:description/>
  <dc:language>en-US</dc:language>
  <cp:lastModifiedBy>rhaysle</cp:lastModifiedBy>
  <cp:lastPrinted>2001-11-16T19:33:09Z</cp:lastPrinted>
  <dcterms:modified xsi:type="dcterms:W3CDTF">2001-11-16T20:36:48Z</dcterms:modified>
  <cp:revision>0</cp:revision>
  <dc:subject/>
  <dc:title/>
</cp:coreProperties>
</file>