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<sst xmlns="http://schemas.openxmlformats.org/spreadsheetml/2006/main" count="142" uniqueCount="120">
  <si>
    <t xml:space="preserve">Cost Estimates</t>
  </si>
  <si>
    <t xml:space="preserve">Texas-Florida</t>
  </si>
  <si>
    <t xml:space="preserve">Long Haul Miles</t>
  </si>
  <si>
    <t xml:space="preserve">Long Haul Feet</t>
  </si>
  <si>
    <t xml:space="preserve">Metro Miles</t>
  </si>
  <si>
    <t xml:space="preserve">Total Miles</t>
  </si>
  <si>
    <t xml:space="preserve">Unit Price</t>
  </si>
  <si>
    <t xml:space="preserve"># of Units</t>
  </si>
  <si>
    <t xml:space="preserve">Total Cost</t>
  </si>
  <si>
    <t xml:space="preserve">Per Mile</t>
  </si>
  <si>
    <t xml:space="preserve">Notes</t>
  </si>
  <si>
    <t xml:space="preserve">R-O-W Acquisition Costs</t>
  </si>
  <si>
    <t xml:space="preserve">Acquisition Costs</t>
  </si>
  <si>
    <t xml:space="preserve">Ingress/Egress Easements</t>
  </si>
  <si>
    <t xml:space="preserve">2% of Acquisition</t>
  </si>
  <si>
    <t xml:space="preserve">Staging Areas</t>
  </si>
  <si>
    <t xml:space="preserve">Damages</t>
  </si>
  <si>
    <t xml:space="preserve">Litigation</t>
  </si>
  <si>
    <t xml:space="preserve">Permit Fees</t>
  </si>
  <si>
    <t xml:space="preserve">Property Plats</t>
  </si>
  <si>
    <t xml:space="preserve">Contract Labor-Titles</t>
  </si>
  <si>
    <t xml:space="preserve">Contract Labor-Acquisition</t>
  </si>
  <si>
    <t xml:space="preserve">Contr. Labor-Constr. Sprt</t>
  </si>
  <si>
    <t xml:space="preserve">ROW Misc</t>
  </si>
  <si>
    <t xml:space="preserve">Subtotal</t>
  </si>
  <si>
    <t xml:space="preserve">Environmental Costs</t>
  </si>
  <si>
    <t xml:space="preserve">Surveys</t>
  </si>
  <si>
    <t xml:space="preserve">Permit Applications</t>
  </si>
  <si>
    <t xml:space="preserve">Mitigation</t>
  </si>
  <si>
    <t xml:space="preserve">Misc.</t>
  </si>
  <si>
    <t xml:space="preserve">incl. Permitting</t>
  </si>
  <si>
    <t xml:space="preserve">Engineering Costs</t>
  </si>
  <si>
    <t xml:space="preserve">Construction</t>
  </si>
  <si>
    <t xml:space="preserve">Clearing</t>
  </si>
  <si>
    <t xml:space="preserve">Mowing</t>
  </si>
  <si>
    <t xml:space="preserve">CAT Plow</t>
  </si>
  <si>
    <t xml:space="preserve">Trench</t>
  </si>
  <si>
    <t xml:space="preserve">Trench Rock</t>
  </si>
  <si>
    <t xml:space="preserve">Trench BSP</t>
  </si>
  <si>
    <t xml:space="preserve">Bores/Drills (Blended)</t>
  </si>
  <si>
    <t xml:space="preserve">Marine Lay</t>
  </si>
  <si>
    <t xml:space="preserve">Directional Long Bore  / BSP</t>
  </si>
  <si>
    <t xml:space="preserve">Pull Innerduct (Existing Pipe)</t>
  </si>
  <si>
    <t xml:space="preserve">Place Handhole</t>
  </si>
  <si>
    <t xml:space="preserve">4700ft*2per</t>
  </si>
  <si>
    <t xml:space="preserve">Place Manhole</t>
  </si>
  <si>
    <t xml:space="preserve">19500 ft</t>
  </si>
  <si>
    <t xml:space="preserve">Place Marker</t>
  </si>
  <si>
    <t xml:space="preserve">8 per mile</t>
  </si>
  <si>
    <t xml:space="preserve">Prove Conduit</t>
  </si>
  <si>
    <t xml:space="preserve">Pothole</t>
  </si>
  <si>
    <t xml:space="preserve">4 per mile</t>
  </si>
  <si>
    <t xml:space="preserve">5% /Labor</t>
  </si>
  <si>
    <t xml:space="preserve">Materials</t>
  </si>
  <si>
    <t xml:space="preserve">HDPE (1.25")</t>
  </si>
  <si>
    <t xml:space="preserve">6 ducts/1999 Price</t>
  </si>
  <si>
    <t xml:space="preserve">PVC (4")</t>
  </si>
  <si>
    <t xml:space="preserve">BSP (9")</t>
  </si>
  <si>
    <t xml:space="preserve">Warning Tape</t>
  </si>
  <si>
    <t xml:space="preserve">5% overage</t>
  </si>
  <si>
    <t xml:space="preserve">Handholes</t>
  </si>
  <si>
    <t xml:space="preserve">2 per 4700'</t>
  </si>
  <si>
    <t xml:space="preserve">Manholes</t>
  </si>
  <si>
    <t xml:space="preserve">Couplers</t>
  </si>
  <si>
    <t xml:space="preserve">5perductmile</t>
  </si>
  <si>
    <t xml:space="preserve">Pull Rope</t>
  </si>
  <si>
    <t xml:space="preserve">Markers</t>
  </si>
  <si>
    <t xml:space="preserve">5% /Matls</t>
  </si>
  <si>
    <t xml:space="preserve">Facilities</t>
  </si>
  <si>
    <t xml:space="preserve">Site Preparation</t>
  </si>
  <si>
    <t xml:space="preserve">Every 55 miles</t>
  </si>
  <si>
    <t xml:space="preserve">Site Engineering/Permitting</t>
  </si>
  <si>
    <t xml:space="preserve">Regen Shelter</t>
  </si>
  <si>
    <t xml:space="preserve">Emergency Generator</t>
  </si>
  <si>
    <t xml:space="preserve">Power Service</t>
  </si>
  <si>
    <t xml:space="preserve">Company Costs (FGT)</t>
  </si>
  <si>
    <t xml:space="preserve">Environmental</t>
  </si>
  <si>
    <t xml:space="preserve">Engineering</t>
  </si>
  <si>
    <t xml:space="preserve">Construction Support</t>
  </si>
  <si>
    <t xml:space="preserve">(10 inspectors)</t>
  </si>
  <si>
    <t xml:space="preserve">R-O-W</t>
  </si>
  <si>
    <t xml:space="preserve">Legal</t>
  </si>
  <si>
    <t xml:space="preserve">(FERC/PUC)</t>
  </si>
  <si>
    <t xml:space="preserve">Miscellaneous</t>
  </si>
  <si>
    <t xml:space="preserve">Contingency (10%)</t>
  </si>
  <si>
    <t xml:space="preserve">Overhead (10%)</t>
  </si>
  <si>
    <t xml:space="preserve">Total:</t>
  </si>
  <si>
    <t xml:space="preserve">Metro Builds:</t>
  </si>
  <si>
    <t xml:space="preserve">$$/Mile-Est.</t>
  </si>
  <si>
    <t xml:space="preserve">Miles</t>
  </si>
  <si>
    <t xml:space="preserve">Total</t>
  </si>
  <si>
    <t xml:space="preserve">        New Orleans</t>
  </si>
  <si>
    <t xml:space="preserve">        Tampa</t>
  </si>
  <si>
    <t xml:space="preserve">        Orlando</t>
  </si>
  <si>
    <t xml:space="preserve">       Jacksonville</t>
  </si>
  <si>
    <t xml:space="preserve">       Miami-Ft. Lauderdale</t>
  </si>
  <si>
    <t xml:space="preserve">(Note-incls. 25% Contingency)</t>
  </si>
  <si>
    <t xml:space="preserve">Sub:</t>
  </si>
  <si>
    <t xml:space="preserve">(per mile:)</t>
  </si>
  <si>
    <t xml:space="preserve">Grand Total:</t>
  </si>
  <si>
    <t xml:space="preserve">Shared Risk</t>
  </si>
  <si>
    <t xml:space="preserve">Worksheet</t>
  </si>
  <si>
    <t xml:space="preserve">w/o Metros</t>
  </si>
  <si>
    <t xml:space="preserve">Low</t>
  </si>
  <si>
    <t xml:space="preserve">(1300 mi)</t>
  </si>
  <si>
    <t xml:space="preserve">High</t>
  </si>
  <si>
    <t xml:space="preserve">Build Cost</t>
  </si>
  <si>
    <t xml:space="preserve">LongHaul Cont.</t>
  </si>
  <si>
    <t xml:space="preserve">ROW Fee</t>
  </si>
  <si>
    <t xml:space="preserve">($28.3kX1300 mi)</t>
  </si>
  <si>
    <t xml:space="preserve">w/ Metros</t>
  </si>
  <si>
    <t xml:space="preserve">(1353 mi)</t>
  </si>
  <si>
    <t xml:space="preserve">($28.3kX1353 mi)</t>
  </si>
  <si>
    <t xml:space="preserve">Metro Cont.</t>
  </si>
  <si>
    <t xml:space="preserve">ROW Fee Value</t>
  </si>
  <si>
    <t xml:space="preserve">($.50/ft X 5,280)</t>
  </si>
  <si>
    <t xml:space="preserve">(CPI=1.5%)</t>
  </si>
  <si>
    <t xml:space="preserve">(Disc. Rate-10%)</t>
  </si>
  <si>
    <t xml:space="preserve">NPV=</t>
  </si>
  <si>
    <t xml:space="preserve">Year                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</si>
</sst>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0%"/>
    <numFmt numFmtId="170" formatCode="0.0%"/>
    <numFmt numFmtId="171" formatCode="0.000%"/>
    <numFmt numFmtId="172" formatCode="_(* #,##0.0_);_(* \(#,##0.0\);_(* \-??_);_(@_)"/>
    <numFmt numFmtId="173" formatCode="\$#,##0_);[RED]&quot;($&quot;#,##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9"/>
      <name val="Arial"/>
      <family val="2"/>
    </font>
    <font>
      <b val="true"/>
      <sz val="12"/>
      <name val="Arial"/>
      <family val="2"/>
    </font>
    <font>
      <b val="true"/>
      <i val="true"/>
      <u val="single"/>
      <sz val="8"/>
      <name val="Arial"/>
      <family val="2"/>
    </font>
    <font>
      <u val="single"/>
      <sz val="8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9"/>
      <name val="Arial"/>
      <family val="2"/>
    </font>
    <font>
      <i val="true"/>
      <sz val="8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16</xdr:row>
      <xdr:rowOff>46080</xdr:rowOff>
    </xdr:from>
    <xdr:to>
      <xdr:col>8</xdr:col>
      <xdr:colOff>78840</xdr:colOff>
      <xdr:row>17</xdr:row>
      <xdr:rowOff>75960</xdr:rowOff>
    </xdr:to>
    <xdr:sp>
      <xdr:nvSpPr>
        <xdr:cNvPr id="0" name="Text 1"/>
        <xdr:cNvSpPr/>
      </xdr:nvSpPr>
      <xdr:spPr>
        <a:xfrm>
          <a:off x="8036640" y="2804400"/>
          <a:ext cx="78840" cy="197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407160</xdr:colOff>
      <xdr:row>0</xdr:row>
      <xdr:rowOff>190440</xdr:rowOff>
    </xdr:from>
    <xdr:to>
      <xdr:col>4</xdr:col>
      <xdr:colOff>329760</xdr:colOff>
      <xdr:row>3</xdr:row>
      <xdr:rowOff>38160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2810160" y="190440"/>
          <a:ext cx="1730160" cy="396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3.1"/>
    <col collapsed="false" customWidth="true" hidden="false" outlineLevel="0" max="2" min="2" style="0" width="10.99"/>
    <col collapsed="false" customWidth="true" hidden="false" outlineLevel="0" max="3" min="3" style="0" width="12.32"/>
    <col collapsed="false" customWidth="true" hidden="false" outlineLevel="0" max="4" min="4" style="1" width="13.33"/>
    <col collapsed="false" customWidth="true" hidden="false" outlineLevel="0" max="5" min="5" style="0" width="13.87"/>
    <col collapsed="false" customWidth="true" hidden="false" outlineLevel="0" max="6" min="6" style="0" width="11.43"/>
    <col collapsed="false" customWidth="true" hidden="false" outlineLevel="0" max="7" min="7" style="0" width="13.1"/>
    <col collapsed="false" customWidth="true" hidden="false" outlineLevel="0" max="8" min="8" style="0" width="15.87"/>
    <col collapsed="false" customWidth="true" hidden="false" outlineLevel="0" max="9" min="9" style="0" width="9.33"/>
  </cols>
  <sheetData>
    <row r="1" customFormat="false" ht="15.6" hidden="false" customHeight="false" outlineLevel="0" collapsed="false">
      <c r="A1" s="2" t="s">
        <v>0</v>
      </c>
      <c r="B1" s="3"/>
      <c r="C1" s="4"/>
      <c r="D1" s="5"/>
      <c r="E1" s="6"/>
      <c r="F1" s="7"/>
      <c r="G1" s="8"/>
    </row>
    <row r="2" customFormat="false" ht="14.4" hidden="false" customHeight="false" outlineLevel="0" collapsed="false">
      <c r="A2" s="9" t="s">
        <v>1</v>
      </c>
      <c r="B2" s="3"/>
      <c r="C2" s="4"/>
      <c r="D2" s="5"/>
      <c r="E2" s="10"/>
      <c r="F2" s="10"/>
      <c r="G2" s="8"/>
    </row>
    <row r="3" customFormat="false" ht="13.2" hidden="false" customHeight="false" outlineLevel="0" collapsed="false">
      <c r="A3" s="11" t="s">
        <v>2</v>
      </c>
      <c r="B3" s="4" t="n">
        <v>1510</v>
      </c>
      <c r="C3" s="4"/>
      <c r="D3" s="5"/>
      <c r="E3" s="6"/>
      <c r="F3" s="7"/>
      <c r="G3" s="12"/>
    </row>
    <row r="4" customFormat="false" ht="13.2" hidden="false" customHeight="false" outlineLevel="0" collapsed="false">
      <c r="A4" s="11" t="s">
        <v>3</v>
      </c>
      <c r="B4" s="4" t="n">
        <f aca="false">5280*B3</f>
        <v>7972800</v>
      </c>
      <c r="C4" s="4"/>
      <c r="D4" s="5"/>
      <c r="E4" s="6"/>
      <c r="F4" s="7"/>
      <c r="G4" s="8"/>
    </row>
    <row r="5" customFormat="false" ht="13.2" hidden="false" customHeight="false" outlineLevel="0" collapsed="false">
      <c r="A5" s="11" t="s">
        <v>4</v>
      </c>
      <c r="B5" s="4" t="n">
        <v>74</v>
      </c>
      <c r="C5" s="4"/>
      <c r="D5" s="5"/>
      <c r="E5" s="6"/>
      <c r="F5" s="7"/>
      <c r="G5" s="8"/>
    </row>
    <row r="6" customFormat="false" ht="13.2" hidden="false" customHeight="false" outlineLevel="0" collapsed="false">
      <c r="A6" s="11" t="s">
        <v>5</v>
      </c>
      <c r="B6" s="4" t="n">
        <f aca="false">B3+B5</f>
        <v>1584</v>
      </c>
      <c r="C6" s="4"/>
      <c r="D6" s="5"/>
      <c r="E6" s="6"/>
      <c r="F6" s="7"/>
      <c r="G6" s="8"/>
    </row>
    <row r="7" customFormat="false" ht="13.2" hidden="false" customHeight="false" outlineLevel="0" collapsed="false">
      <c r="A7" s="11"/>
      <c r="B7" s="3"/>
      <c r="C7" s="4"/>
      <c r="D7" s="5"/>
      <c r="E7" s="6"/>
      <c r="F7" s="7"/>
      <c r="G7" s="8"/>
    </row>
    <row r="8" customFormat="false" ht="15.6" hidden="false" customHeight="false" outlineLevel="0" collapsed="false">
      <c r="A8" s="13"/>
      <c r="B8" s="14" t="s">
        <v>6</v>
      </c>
      <c r="C8" s="15" t="s">
        <v>7</v>
      </c>
      <c r="D8" s="10" t="s">
        <v>8</v>
      </c>
      <c r="E8" s="6"/>
      <c r="F8" s="10" t="s">
        <v>9</v>
      </c>
      <c r="G8" s="16" t="s">
        <v>10</v>
      </c>
    </row>
    <row r="9" customFormat="false" ht="13.2" hidden="false" customHeight="false" outlineLevel="0" collapsed="false">
      <c r="A9" s="17" t="s">
        <v>11</v>
      </c>
      <c r="B9" s="18"/>
      <c r="C9" s="19"/>
      <c r="D9" s="5"/>
      <c r="E9" s="6"/>
      <c r="F9" s="7"/>
      <c r="G9" s="8"/>
    </row>
    <row r="10" customFormat="false" ht="13.2" hidden="false" customHeight="false" outlineLevel="0" collapsed="false">
      <c r="A10" s="20" t="s">
        <v>12</v>
      </c>
      <c r="B10" s="3" t="n">
        <v>2.75</v>
      </c>
      <c r="C10" s="4" t="n">
        <f aca="false">$B$4</f>
        <v>7972800</v>
      </c>
      <c r="D10" s="6" t="n">
        <f aca="false">B10*C10</f>
        <v>21925200</v>
      </c>
      <c r="E10" s="6"/>
      <c r="F10" s="7" t="n">
        <f aca="false">D10/$B$3</f>
        <v>14520</v>
      </c>
      <c r="G10" s="8"/>
    </row>
    <row r="11" customFormat="false" ht="13.2" hidden="false" customHeight="false" outlineLevel="0" collapsed="false">
      <c r="A11" s="20" t="s">
        <v>13</v>
      </c>
      <c r="B11" s="3"/>
      <c r="C11" s="4"/>
      <c r="D11" s="6" t="n">
        <f aca="false">$D$10*0.02</f>
        <v>438504</v>
      </c>
      <c r="E11" s="6"/>
      <c r="F11" s="7" t="n">
        <f aca="false">D11/$B$3</f>
        <v>290.4</v>
      </c>
      <c r="G11" s="8" t="s">
        <v>14</v>
      </c>
    </row>
    <row r="12" customFormat="false" ht="13.2" hidden="false" customHeight="false" outlineLevel="0" collapsed="false">
      <c r="A12" s="20" t="s">
        <v>15</v>
      </c>
      <c r="B12" s="3"/>
      <c r="C12" s="4"/>
      <c r="D12" s="6" t="n">
        <f aca="false">$D$10*0.02</f>
        <v>438504</v>
      </c>
      <c r="E12" s="6"/>
      <c r="F12" s="7" t="n">
        <f aca="false">D12/$B$3</f>
        <v>290.4</v>
      </c>
      <c r="G12" s="21" t="n">
        <v>0.02</v>
      </c>
    </row>
    <row r="13" customFormat="false" ht="13.2" hidden="false" customHeight="false" outlineLevel="0" collapsed="false">
      <c r="A13" s="20" t="s">
        <v>16</v>
      </c>
      <c r="B13" s="3" t="n">
        <v>1</v>
      </c>
      <c r="C13" s="4" t="n">
        <f aca="false">$B$4</f>
        <v>7972800</v>
      </c>
      <c r="D13" s="6" t="n">
        <f aca="false">B13*C13</f>
        <v>7972800</v>
      </c>
      <c r="E13" s="6"/>
      <c r="F13" s="7" t="n">
        <f aca="false">D13/$B$3</f>
        <v>5280</v>
      </c>
      <c r="G13" s="8"/>
    </row>
    <row r="14" customFormat="false" ht="13.2" hidden="false" customHeight="false" outlineLevel="0" collapsed="false">
      <c r="A14" s="20" t="s">
        <v>17</v>
      </c>
      <c r="B14" s="3"/>
      <c r="C14" s="4"/>
      <c r="D14" s="6" t="n">
        <f aca="false">$D$10*0.05</f>
        <v>1096260</v>
      </c>
      <c r="E14" s="6"/>
      <c r="F14" s="7" t="n">
        <f aca="false">D14/$B$3</f>
        <v>726</v>
      </c>
      <c r="G14" s="21" t="n">
        <v>0.05</v>
      </c>
    </row>
    <row r="15" customFormat="false" ht="13.2" hidden="false" customHeight="false" outlineLevel="0" collapsed="false">
      <c r="A15" s="20" t="s">
        <v>18</v>
      </c>
      <c r="B15" s="3"/>
      <c r="C15" s="4"/>
      <c r="D15" s="6" t="n">
        <f aca="false">$D$10*0.02</f>
        <v>438504</v>
      </c>
      <c r="E15" s="6"/>
      <c r="F15" s="7" t="n">
        <f aca="false">D15/$B$3</f>
        <v>290.4</v>
      </c>
      <c r="G15" s="21" t="n">
        <v>0.02</v>
      </c>
    </row>
    <row r="16" customFormat="false" ht="13.2" hidden="false" customHeight="false" outlineLevel="0" collapsed="false">
      <c r="A16" s="20" t="s">
        <v>19</v>
      </c>
      <c r="B16" s="3"/>
      <c r="C16" s="4"/>
      <c r="D16" s="6" t="n">
        <f aca="false">$D$10*0.02</f>
        <v>438504</v>
      </c>
      <c r="E16" s="6"/>
      <c r="F16" s="7" t="n">
        <f aca="false">D16/$B$3</f>
        <v>290.4</v>
      </c>
      <c r="G16" s="21" t="n">
        <v>0.02</v>
      </c>
    </row>
    <row r="17" customFormat="false" ht="13.2" hidden="false" customHeight="false" outlineLevel="0" collapsed="false">
      <c r="A17" s="20" t="s">
        <v>20</v>
      </c>
      <c r="B17" s="3"/>
      <c r="C17" s="4"/>
      <c r="D17" s="6" t="n">
        <f aca="false">$D$10*0.02</f>
        <v>438504</v>
      </c>
      <c r="E17" s="6"/>
      <c r="F17" s="7" t="n">
        <f aca="false">D17/$B$3</f>
        <v>290.4</v>
      </c>
      <c r="G17" s="21" t="n">
        <v>0.02</v>
      </c>
    </row>
    <row r="18" customFormat="false" ht="13.2" hidden="false" customHeight="false" outlineLevel="0" collapsed="false">
      <c r="A18" s="20" t="s">
        <v>21</v>
      </c>
      <c r="B18" s="3" t="n">
        <v>1.25</v>
      </c>
      <c r="C18" s="4" t="n">
        <f aca="false">$B$4</f>
        <v>7972800</v>
      </c>
      <c r="D18" s="6" t="n">
        <f aca="false">B18*C18</f>
        <v>9966000</v>
      </c>
      <c r="E18" s="6"/>
      <c r="F18" s="7" t="n">
        <f aca="false">D18/$B$3</f>
        <v>6600</v>
      </c>
      <c r="G18" s="8"/>
    </row>
    <row r="19" customFormat="false" ht="13.2" hidden="false" customHeight="false" outlineLevel="0" collapsed="false">
      <c r="A19" s="20" t="s">
        <v>22</v>
      </c>
      <c r="B19" s="3"/>
      <c r="C19" s="4"/>
      <c r="D19" s="6" t="n">
        <f aca="false">$D$10*0.02</f>
        <v>438504</v>
      </c>
      <c r="E19" s="6"/>
      <c r="F19" s="7" t="n">
        <f aca="false">D19/$B$3</f>
        <v>290.4</v>
      </c>
      <c r="G19" s="21" t="n">
        <v>0.02</v>
      </c>
    </row>
    <row r="20" customFormat="false" ht="14.4" hidden="false" customHeight="false" outlineLevel="0" collapsed="false">
      <c r="A20" s="22" t="s">
        <v>23</v>
      </c>
      <c r="B20" s="22"/>
      <c r="C20" s="15"/>
      <c r="D20" s="10" t="n">
        <f aca="false">SUM(D10:D19)*0.025</f>
        <v>1089782.1</v>
      </c>
      <c r="E20" s="23"/>
      <c r="F20" s="24" t="n">
        <f aca="false">D20/$B$3</f>
        <v>721.71</v>
      </c>
      <c r="G20" s="25" t="n">
        <v>0.025</v>
      </c>
    </row>
    <row r="21" customFormat="false" ht="13.2" hidden="false" customHeight="false" outlineLevel="0" collapsed="false">
      <c r="A21" s="26" t="s">
        <v>24</v>
      </c>
      <c r="B21" s="27"/>
      <c r="C21" s="28"/>
      <c r="E21" s="5" t="n">
        <f aca="false">SUM(D10:D20)</f>
        <v>44681066.1</v>
      </c>
      <c r="F21" s="6" t="n">
        <f aca="false">E21/$B$3</f>
        <v>29590.11</v>
      </c>
      <c r="G21" s="29"/>
    </row>
    <row r="22" customFormat="false" ht="13.2" hidden="false" customHeight="false" outlineLevel="0" collapsed="false">
      <c r="A22" s="30"/>
      <c r="B22" s="3"/>
      <c r="C22" s="4"/>
      <c r="D22" s="5"/>
      <c r="E22" s="6"/>
      <c r="F22" s="7"/>
      <c r="G22" s="8"/>
    </row>
    <row r="23" customFormat="false" ht="13.2" hidden="false" customHeight="false" outlineLevel="0" collapsed="false">
      <c r="A23" s="17" t="s">
        <v>25</v>
      </c>
      <c r="B23" s="18"/>
      <c r="C23" s="19"/>
      <c r="D23" s="5"/>
      <c r="E23" s="6"/>
      <c r="F23" s="7"/>
      <c r="G23" s="8"/>
    </row>
    <row r="24" customFormat="false" ht="13.2" hidden="false" customHeight="false" outlineLevel="0" collapsed="false">
      <c r="A24" s="20" t="s">
        <v>26</v>
      </c>
      <c r="B24" s="3" t="n">
        <v>750000</v>
      </c>
      <c r="C24" s="4"/>
      <c r="D24" s="5"/>
      <c r="E24" s="6"/>
      <c r="F24" s="7"/>
      <c r="G24" s="8"/>
    </row>
    <row r="25" customFormat="false" ht="13.2" hidden="false" customHeight="false" outlineLevel="0" collapsed="false">
      <c r="A25" s="20" t="s">
        <v>27</v>
      </c>
      <c r="B25" s="3" t="n">
        <v>500000</v>
      </c>
      <c r="C25" s="4"/>
      <c r="D25" s="5"/>
      <c r="E25" s="6"/>
      <c r="F25" s="7"/>
      <c r="G25" s="8"/>
    </row>
    <row r="26" customFormat="false" ht="13.2" hidden="false" customHeight="false" outlineLevel="0" collapsed="false">
      <c r="A26" s="20" t="s">
        <v>28</v>
      </c>
      <c r="B26" s="3" t="n">
        <v>500000</v>
      </c>
      <c r="C26" s="4"/>
      <c r="D26" s="5"/>
      <c r="E26" s="6"/>
      <c r="F26" s="7"/>
      <c r="G26" s="8"/>
    </row>
    <row r="27" customFormat="false" ht="13.2" hidden="false" customHeight="false" outlineLevel="0" collapsed="false">
      <c r="A27" s="22" t="s">
        <v>29</v>
      </c>
      <c r="B27" s="14" t="n">
        <v>500000</v>
      </c>
      <c r="C27" s="15"/>
      <c r="D27" s="10"/>
      <c r="E27" s="23"/>
      <c r="F27" s="7"/>
      <c r="G27" s="31" t="s">
        <v>30</v>
      </c>
    </row>
    <row r="28" customFormat="false" ht="13.2" hidden="false" customHeight="false" outlineLevel="0" collapsed="false">
      <c r="A28" s="26" t="s">
        <v>24</v>
      </c>
      <c r="B28" s="3"/>
      <c r="C28" s="28"/>
      <c r="D28" s="5"/>
      <c r="E28" s="5" t="n">
        <f aca="false">SUM(B24:B27)</f>
        <v>2250000</v>
      </c>
      <c r="F28" s="6" t="n">
        <f aca="false">E28/$B$3</f>
        <v>1490.06622516556</v>
      </c>
      <c r="G28" s="8"/>
    </row>
    <row r="29" customFormat="false" ht="13.2" hidden="false" customHeight="false" outlineLevel="0" collapsed="false">
      <c r="A29" s="30"/>
      <c r="B29" s="3"/>
      <c r="C29" s="4"/>
      <c r="D29" s="5"/>
      <c r="E29" s="6"/>
      <c r="F29" s="7"/>
      <c r="G29" s="8"/>
    </row>
    <row r="30" customFormat="false" ht="13.2" hidden="false" customHeight="false" outlineLevel="0" collapsed="false">
      <c r="A30" s="17" t="s">
        <v>31</v>
      </c>
      <c r="B30" s="18"/>
      <c r="C30" s="19"/>
      <c r="D30" s="5"/>
      <c r="E30" s="6"/>
      <c r="F30" s="7"/>
      <c r="G30" s="8"/>
    </row>
    <row r="31" customFormat="false" ht="13.2" hidden="false" customHeight="false" outlineLevel="0" collapsed="false">
      <c r="A31" s="26" t="s">
        <v>24</v>
      </c>
      <c r="B31" s="32" t="n">
        <v>1</v>
      </c>
      <c r="C31" s="28" t="n">
        <f aca="false">B4</f>
        <v>7972800</v>
      </c>
      <c r="D31" s="5"/>
      <c r="E31" s="5" t="n">
        <f aca="false">B31*C31</f>
        <v>7972800</v>
      </c>
      <c r="F31" s="6" t="n">
        <f aca="false">E31/$B$3</f>
        <v>5280</v>
      </c>
      <c r="G31" s="8"/>
    </row>
    <row r="32" customFormat="false" ht="13.2" hidden="false" customHeight="false" outlineLevel="0" collapsed="false">
      <c r="A32" s="30"/>
      <c r="B32" s="3"/>
      <c r="C32" s="4"/>
      <c r="D32" s="5"/>
      <c r="E32" s="6"/>
      <c r="F32" s="7"/>
      <c r="G32" s="8"/>
    </row>
    <row r="33" customFormat="false" ht="13.2" hidden="false" customHeight="false" outlineLevel="0" collapsed="false">
      <c r="A33" s="33" t="s">
        <v>32</v>
      </c>
      <c r="B33" s="18"/>
      <c r="C33" s="19"/>
      <c r="D33" s="5"/>
      <c r="E33" s="6"/>
      <c r="F33" s="7"/>
      <c r="G33" s="8"/>
    </row>
    <row r="34" customFormat="false" ht="13.2" hidden="false" customHeight="false" outlineLevel="0" collapsed="false">
      <c r="A34" s="20" t="s">
        <v>33</v>
      </c>
      <c r="B34" s="3" t="n">
        <v>275</v>
      </c>
      <c r="C34" s="4" t="n">
        <f aca="false">B3</f>
        <v>1510</v>
      </c>
      <c r="D34" s="6" t="n">
        <f aca="false">B34*C34</f>
        <v>415250</v>
      </c>
      <c r="E34" s="6"/>
      <c r="F34" s="6" t="n">
        <f aca="false">D34/$B$3</f>
        <v>275</v>
      </c>
      <c r="G34" s="8" t="s">
        <v>34</v>
      </c>
    </row>
    <row r="35" customFormat="false" ht="13.2" hidden="false" customHeight="false" outlineLevel="0" collapsed="false">
      <c r="A35" s="20" t="s">
        <v>35</v>
      </c>
      <c r="B35" s="3" t="n">
        <v>3.5</v>
      </c>
      <c r="C35" s="4" t="n">
        <f aca="false">B4*G35</f>
        <v>5501232</v>
      </c>
      <c r="D35" s="6" t="n">
        <f aca="false">B35*C35</f>
        <v>19254312</v>
      </c>
      <c r="E35" s="6"/>
      <c r="F35" s="6" t="n">
        <f aca="false">D35/$B$3</f>
        <v>12751.2</v>
      </c>
      <c r="G35" s="25" t="n">
        <v>0.69</v>
      </c>
      <c r="H35" s="34"/>
    </row>
    <row r="36" customFormat="false" ht="13.2" hidden="false" customHeight="false" outlineLevel="0" collapsed="false">
      <c r="A36" s="20" t="s">
        <v>36</v>
      </c>
      <c r="B36" s="3" t="n">
        <v>12</v>
      </c>
      <c r="C36" s="4" t="n">
        <f aca="false">B4*G36</f>
        <v>1116192</v>
      </c>
      <c r="D36" s="6" t="n">
        <f aca="false">B36*C36</f>
        <v>13394304</v>
      </c>
      <c r="E36" s="6"/>
      <c r="F36" s="6" t="n">
        <f aca="false">D36/$B$3</f>
        <v>8870.4</v>
      </c>
      <c r="G36" s="25" t="n">
        <v>0.14</v>
      </c>
      <c r="H36" s="34" t="n">
        <f aca="false">SUM(G35:G42)</f>
        <v>1</v>
      </c>
    </row>
    <row r="37" customFormat="false" ht="13.2" hidden="false" customHeight="false" outlineLevel="0" collapsed="false">
      <c r="A37" s="20" t="s">
        <v>37</v>
      </c>
      <c r="B37" s="3" t="n">
        <v>95</v>
      </c>
      <c r="C37" s="4" t="n">
        <f aca="false">B4*G37</f>
        <v>79728</v>
      </c>
      <c r="D37" s="6" t="n">
        <f aca="false">B37*C37</f>
        <v>7574160</v>
      </c>
      <c r="E37" s="6"/>
      <c r="F37" s="6" t="n">
        <f aca="false">D37/$B$3</f>
        <v>5016</v>
      </c>
      <c r="G37" s="25" t="n">
        <v>0.01</v>
      </c>
    </row>
    <row r="38" customFormat="false" ht="13.2" hidden="false" customHeight="false" outlineLevel="0" collapsed="false">
      <c r="A38" s="20" t="s">
        <v>38</v>
      </c>
      <c r="B38" s="3" t="n">
        <v>18</v>
      </c>
      <c r="C38" s="4" t="n">
        <f aca="false">B4*G38</f>
        <v>199320</v>
      </c>
      <c r="D38" s="6" t="n">
        <f aca="false">B38*C38</f>
        <v>3587760</v>
      </c>
      <c r="E38" s="6"/>
      <c r="F38" s="6" t="n">
        <f aca="false">D38/$B$3</f>
        <v>2376</v>
      </c>
      <c r="G38" s="25" t="n">
        <v>0.025</v>
      </c>
      <c r="I38" s="35"/>
    </row>
    <row r="39" customFormat="false" ht="13.2" hidden="false" customHeight="false" outlineLevel="0" collapsed="false">
      <c r="A39" s="20" t="s">
        <v>39</v>
      </c>
      <c r="B39" s="3" t="n">
        <v>26</v>
      </c>
      <c r="C39" s="4" t="n">
        <f aca="false">B4*G39</f>
        <v>717552</v>
      </c>
      <c r="D39" s="5" t="n">
        <f aca="false">B39*C39</f>
        <v>18656352</v>
      </c>
      <c r="E39" s="6"/>
      <c r="F39" s="6" t="n">
        <f aca="false">D39/$B$3</f>
        <v>12355.2</v>
      </c>
      <c r="G39" s="25" t="n">
        <v>0.09</v>
      </c>
    </row>
    <row r="40" customFormat="false" ht="13.2" hidden="false" customHeight="false" outlineLevel="0" collapsed="false">
      <c r="A40" s="20" t="s">
        <v>40</v>
      </c>
      <c r="B40" s="3" t="n">
        <v>45</v>
      </c>
      <c r="C40" s="4" t="n">
        <f aca="false">B4*G40</f>
        <v>79728</v>
      </c>
      <c r="D40" s="5" t="n">
        <f aca="false">B40*C40</f>
        <v>3587760</v>
      </c>
      <c r="E40" s="6"/>
      <c r="F40" s="6" t="n">
        <f aca="false">D40/$B$3</f>
        <v>2376</v>
      </c>
      <c r="G40" s="25" t="n">
        <v>0.01</v>
      </c>
    </row>
    <row r="41" customFormat="false" ht="13.2" hidden="false" customHeight="false" outlineLevel="0" collapsed="false">
      <c r="A41" s="20" t="s">
        <v>41</v>
      </c>
      <c r="B41" s="3" t="n">
        <v>100</v>
      </c>
      <c r="C41" s="4" t="n">
        <f aca="false">B4*G41</f>
        <v>119592</v>
      </c>
      <c r="D41" s="5" t="n">
        <f aca="false">B41*C41</f>
        <v>11959200</v>
      </c>
      <c r="E41" s="6"/>
      <c r="F41" s="6" t="n">
        <f aca="false">D41/$B$3</f>
        <v>7920</v>
      </c>
      <c r="G41" s="25" t="n">
        <v>0.015</v>
      </c>
      <c r="I41" s="36"/>
    </row>
    <row r="42" customFormat="false" ht="13.2" hidden="false" customHeight="false" outlineLevel="0" collapsed="false">
      <c r="A42" s="20" t="s">
        <v>42</v>
      </c>
      <c r="B42" s="3" t="n">
        <v>1.75</v>
      </c>
      <c r="C42" s="4" t="n">
        <f aca="false">B4*G42</f>
        <v>159456</v>
      </c>
      <c r="D42" s="6" t="n">
        <f aca="false">B42*C42</f>
        <v>279048</v>
      </c>
      <c r="E42" s="6"/>
      <c r="F42" s="6" t="n">
        <f aca="false">D42/$B$3</f>
        <v>184.8</v>
      </c>
      <c r="G42" s="25" t="n">
        <v>0.02</v>
      </c>
    </row>
    <row r="43" customFormat="false" ht="13.2" hidden="false" customHeight="false" outlineLevel="0" collapsed="false">
      <c r="A43" s="20" t="s">
        <v>43</v>
      </c>
      <c r="B43" s="3" t="n">
        <v>500</v>
      </c>
      <c r="C43" s="4" t="n">
        <f aca="false">(B4/4700)*2</f>
        <v>3392.68085106383</v>
      </c>
      <c r="D43" s="5" t="n">
        <f aca="false">B43*C43</f>
        <v>1696340.42553192</v>
      </c>
      <c r="E43" s="6"/>
      <c r="F43" s="6" t="n">
        <f aca="false">D43/$B$3</f>
        <v>1123.40425531915</v>
      </c>
      <c r="G43" s="8" t="s">
        <v>44</v>
      </c>
    </row>
    <row r="44" customFormat="false" ht="13.2" hidden="false" customHeight="false" outlineLevel="0" collapsed="false">
      <c r="A44" s="20" t="s">
        <v>45</v>
      </c>
      <c r="B44" s="3" t="n">
        <v>2000</v>
      </c>
      <c r="C44" s="4" t="n">
        <f aca="false">B4/19500</f>
        <v>408.861538461539</v>
      </c>
      <c r="D44" s="5" t="n">
        <f aca="false">B44*C44</f>
        <v>817723.076923077</v>
      </c>
      <c r="E44" s="6"/>
      <c r="F44" s="6" t="n">
        <f aca="false">D44/$B$3</f>
        <v>541.538461538462</v>
      </c>
      <c r="G44" s="8" t="s">
        <v>46</v>
      </c>
    </row>
    <row r="45" customFormat="false" ht="13.2" hidden="false" customHeight="false" outlineLevel="0" collapsed="false">
      <c r="A45" s="20" t="s">
        <v>47</v>
      </c>
      <c r="B45" s="3" t="n">
        <v>20</v>
      </c>
      <c r="C45" s="4" t="n">
        <f aca="false">B3*8</f>
        <v>12080</v>
      </c>
      <c r="D45" s="5" t="n">
        <f aca="false">B45*C45</f>
        <v>241600</v>
      </c>
      <c r="E45" s="6"/>
      <c r="F45" s="6" t="n">
        <f aca="false">D45/$B$3</f>
        <v>160</v>
      </c>
      <c r="G45" s="8" t="s">
        <v>48</v>
      </c>
    </row>
    <row r="46" customFormat="false" ht="13.2" hidden="false" customHeight="false" outlineLevel="0" collapsed="false">
      <c r="A46" s="20" t="s">
        <v>49</v>
      </c>
      <c r="B46" s="3" t="n">
        <v>0.25</v>
      </c>
      <c r="C46" s="4" t="n">
        <f aca="false">B4</f>
        <v>7972800</v>
      </c>
      <c r="D46" s="5" t="n">
        <f aca="false">B46*C46</f>
        <v>1993200</v>
      </c>
      <c r="E46" s="6"/>
      <c r="F46" s="6" t="n">
        <f aca="false">D46/$B$3</f>
        <v>1320</v>
      </c>
      <c r="G46" s="8"/>
    </row>
    <row r="47" customFormat="false" ht="13.2" hidden="false" customHeight="false" outlineLevel="0" collapsed="false">
      <c r="A47" s="20" t="s">
        <v>50</v>
      </c>
      <c r="B47" s="3" t="n">
        <v>100</v>
      </c>
      <c r="C47" s="4" t="n">
        <f aca="false">4*B3</f>
        <v>6040</v>
      </c>
      <c r="D47" s="5" t="n">
        <f aca="false">B47*C47</f>
        <v>604000</v>
      </c>
      <c r="E47" s="6"/>
      <c r="F47" s="6" t="n">
        <f aca="false">D47/$B$3</f>
        <v>400</v>
      </c>
      <c r="G47" s="8" t="s">
        <v>51</v>
      </c>
    </row>
    <row r="48" customFormat="false" ht="14.4" hidden="false" customHeight="false" outlineLevel="0" collapsed="false">
      <c r="A48" s="20" t="s">
        <v>29</v>
      </c>
      <c r="B48" s="14"/>
      <c r="C48" s="15"/>
      <c r="D48" s="37" t="n">
        <f aca="false">SUM(D38:D47)*0.05</f>
        <v>2171149.17512275</v>
      </c>
      <c r="E48" s="23"/>
      <c r="F48" s="6" t="n">
        <f aca="false">D48/$B$3</f>
        <v>1437.84713584288</v>
      </c>
      <c r="G48" s="8" t="s">
        <v>52</v>
      </c>
    </row>
    <row r="49" customFormat="false" ht="13.2" hidden="false" customHeight="false" outlineLevel="0" collapsed="false">
      <c r="A49" s="26" t="s">
        <v>24</v>
      </c>
      <c r="B49" s="32"/>
      <c r="C49" s="28"/>
      <c r="D49" s="5"/>
      <c r="E49" s="27" t="n">
        <f aca="false">SUM(D34:D48)</f>
        <v>86232158.6775778</v>
      </c>
      <c r="F49" s="6" t="n">
        <f aca="false">E49/$B$3</f>
        <v>57107.3898527005</v>
      </c>
      <c r="G49" s="8"/>
    </row>
    <row r="50" customFormat="false" ht="13.2" hidden="false" customHeight="false" outlineLevel="0" collapsed="false">
      <c r="A50" s="20"/>
      <c r="B50" s="3"/>
      <c r="C50" s="4"/>
      <c r="D50" s="5"/>
      <c r="E50" s="6"/>
      <c r="F50" s="6"/>
      <c r="G50" s="8"/>
    </row>
    <row r="51" customFormat="false" ht="13.2" hidden="false" customHeight="false" outlineLevel="0" collapsed="false">
      <c r="A51" s="33" t="s">
        <v>53</v>
      </c>
      <c r="B51" s="18"/>
      <c r="C51" s="19"/>
      <c r="D51" s="5"/>
      <c r="E51" s="6"/>
      <c r="F51" s="6"/>
      <c r="G51" s="8"/>
    </row>
    <row r="52" customFormat="false" ht="13.2" hidden="false" customHeight="false" outlineLevel="0" collapsed="false">
      <c r="A52" s="20" t="s">
        <v>54</v>
      </c>
      <c r="B52" s="3" t="n">
        <v>0.33</v>
      </c>
      <c r="C52" s="4" t="n">
        <f aca="false">B4</f>
        <v>7972800</v>
      </c>
      <c r="D52" s="5" t="n">
        <f aca="false">B52*C52*6</f>
        <v>15786144</v>
      </c>
      <c r="E52" s="6"/>
      <c r="F52" s="6" t="n">
        <f aca="false">D52/$B$3</f>
        <v>10454.4</v>
      </c>
      <c r="G52" s="8" t="s">
        <v>55</v>
      </c>
    </row>
    <row r="53" customFormat="false" ht="13.2" hidden="false" customHeight="false" outlineLevel="0" collapsed="false">
      <c r="A53" s="20" t="s">
        <v>56</v>
      </c>
      <c r="B53" s="3" t="n">
        <v>1</v>
      </c>
      <c r="C53" s="4" t="n">
        <f aca="false">C39</f>
        <v>717552</v>
      </c>
      <c r="D53" s="5" t="n">
        <f aca="false">B53*C53</f>
        <v>717552</v>
      </c>
      <c r="E53" s="6"/>
      <c r="F53" s="6" t="n">
        <f aca="false">D53/$B$3</f>
        <v>475.2</v>
      </c>
      <c r="G53" s="8"/>
    </row>
    <row r="54" customFormat="false" ht="13.2" hidden="false" customHeight="false" outlineLevel="0" collapsed="false">
      <c r="A54" s="20" t="s">
        <v>57</v>
      </c>
      <c r="B54" s="3" t="n">
        <v>9</v>
      </c>
      <c r="C54" s="4" t="n">
        <f aca="false">C41+C38</f>
        <v>318912</v>
      </c>
      <c r="D54" s="5" t="n">
        <f aca="false">B54*C54</f>
        <v>2870208</v>
      </c>
      <c r="E54" s="6"/>
      <c r="F54" s="6" t="n">
        <f aca="false">D54/$B$3</f>
        <v>1900.8</v>
      </c>
      <c r="G54" s="8"/>
    </row>
    <row r="55" customFormat="false" ht="13.2" hidden="false" customHeight="false" outlineLevel="0" collapsed="false">
      <c r="A55" s="20" t="s">
        <v>58</v>
      </c>
      <c r="B55" s="3" t="n">
        <v>0.02</v>
      </c>
      <c r="C55" s="4" t="n">
        <f aca="false">B4</f>
        <v>7972800</v>
      </c>
      <c r="D55" s="5" t="n">
        <f aca="false">B55*C55</f>
        <v>159456</v>
      </c>
      <c r="E55" s="6"/>
      <c r="F55" s="6" t="n">
        <f aca="false">D55/$B$3</f>
        <v>105.6</v>
      </c>
      <c r="G55" s="8" t="s">
        <v>59</v>
      </c>
    </row>
    <row r="56" customFormat="false" ht="13.2" hidden="false" customHeight="false" outlineLevel="0" collapsed="false">
      <c r="A56" s="20" t="s">
        <v>60</v>
      </c>
      <c r="B56" s="3" t="n">
        <v>600</v>
      </c>
      <c r="C56" s="38" t="n">
        <f aca="false">B4/4700*2</f>
        <v>3392.68085106383</v>
      </c>
      <c r="D56" s="5" t="n">
        <f aca="false">B56*C56</f>
        <v>2035608.5106383</v>
      </c>
      <c r="E56" s="6"/>
      <c r="F56" s="6" t="n">
        <f aca="false">D56/$B$3</f>
        <v>1348.08510638298</v>
      </c>
      <c r="G56" s="8" t="s">
        <v>61</v>
      </c>
    </row>
    <row r="57" customFormat="false" ht="13.2" hidden="false" customHeight="false" outlineLevel="0" collapsed="false">
      <c r="A57" s="20" t="s">
        <v>62</v>
      </c>
      <c r="B57" s="3" t="n">
        <v>1100</v>
      </c>
      <c r="C57" s="4" t="n">
        <f aca="false">B4/19500</f>
        <v>408.861538461539</v>
      </c>
      <c r="D57" s="5" t="n">
        <f aca="false">B57*C57</f>
        <v>449747.692307692</v>
      </c>
      <c r="E57" s="6"/>
      <c r="F57" s="6" t="n">
        <f aca="false">D57/$B$3</f>
        <v>297.846153846154</v>
      </c>
      <c r="G57" s="8"/>
    </row>
    <row r="58" customFormat="false" ht="13.2" hidden="false" customHeight="false" outlineLevel="0" collapsed="false">
      <c r="A58" s="20" t="s">
        <v>63</v>
      </c>
      <c r="B58" s="3" t="n">
        <v>3.25</v>
      </c>
      <c r="C58" s="4" t="n">
        <f aca="false">5*6*B3</f>
        <v>45300</v>
      </c>
      <c r="D58" s="5" t="n">
        <f aca="false">B58*C58</f>
        <v>147225</v>
      </c>
      <c r="E58" s="6"/>
      <c r="F58" s="6" t="n">
        <f aca="false">D58/$B$3</f>
        <v>97.5</v>
      </c>
      <c r="G58" s="8" t="s">
        <v>64</v>
      </c>
    </row>
    <row r="59" customFormat="false" ht="13.2" hidden="false" customHeight="false" outlineLevel="0" collapsed="false">
      <c r="A59" s="20" t="s">
        <v>65</v>
      </c>
      <c r="B59" s="3" t="n">
        <v>0.04</v>
      </c>
      <c r="C59" s="4" t="n">
        <f aca="false">B4</f>
        <v>7972800</v>
      </c>
      <c r="D59" s="5" t="n">
        <f aca="false">B59*C59</f>
        <v>318912</v>
      </c>
      <c r="E59" s="6"/>
      <c r="F59" s="6" t="n">
        <f aca="false">D59/$B$3</f>
        <v>211.2</v>
      </c>
      <c r="G59" s="8" t="s">
        <v>59</v>
      </c>
    </row>
    <row r="60" customFormat="false" ht="13.2" hidden="false" customHeight="false" outlineLevel="0" collapsed="false">
      <c r="A60" s="20" t="s">
        <v>66</v>
      </c>
      <c r="B60" s="3" t="n">
        <v>7</v>
      </c>
      <c r="C60" s="4" t="n">
        <f aca="false">8*B3</f>
        <v>12080</v>
      </c>
      <c r="D60" s="5" t="n">
        <f aca="false">B60*C60</f>
        <v>84560</v>
      </c>
      <c r="E60" s="6"/>
      <c r="F60" s="6" t="n">
        <f aca="false">D60/$B$3</f>
        <v>56</v>
      </c>
      <c r="G60" s="8" t="s">
        <v>48</v>
      </c>
    </row>
    <row r="61" customFormat="false" ht="14.4" hidden="false" customHeight="false" outlineLevel="0" collapsed="false">
      <c r="A61" s="20" t="s">
        <v>29</v>
      </c>
      <c r="B61" s="14"/>
      <c r="C61" s="15"/>
      <c r="D61" s="37" t="n">
        <f aca="false">SUM(D52:D60)*0.05</f>
        <v>1128470.6601473</v>
      </c>
      <c r="E61" s="23"/>
      <c r="F61" s="6" t="n">
        <f aca="false">D61/$B$3</f>
        <v>747.331563011457</v>
      </c>
      <c r="G61" s="8" t="s">
        <v>67</v>
      </c>
    </row>
    <row r="62" customFormat="false" ht="13.2" hidden="false" customHeight="false" outlineLevel="0" collapsed="false">
      <c r="A62" s="39" t="s">
        <v>24</v>
      </c>
      <c r="B62" s="32"/>
      <c r="C62" s="32"/>
      <c r="D62" s="6"/>
      <c r="E62" s="27" t="n">
        <f aca="false">SUM(D52:D61)</f>
        <v>23697883.8630933</v>
      </c>
      <c r="F62" s="6" t="n">
        <f aca="false">E62/$B$3</f>
        <v>15693.9628232406</v>
      </c>
      <c r="G62" s="8"/>
    </row>
    <row r="63" customFormat="false" ht="13.2" hidden="false" customHeight="false" outlineLevel="0" collapsed="false">
      <c r="A63" s="20"/>
      <c r="B63" s="3"/>
      <c r="C63" s="4"/>
      <c r="D63" s="5"/>
      <c r="E63" s="6"/>
      <c r="F63" s="6"/>
      <c r="G63" s="8"/>
    </row>
    <row r="64" customFormat="false" ht="13.2" hidden="false" customHeight="false" outlineLevel="0" collapsed="false">
      <c r="A64" s="33" t="s">
        <v>68</v>
      </c>
      <c r="B64" s="18"/>
      <c r="C64" s="19"/>
      <c r="D64" s="5"/>
      <c r="E64" s="6"/>
      <c r="F64" s="6"/>
      <c r="G64" s="8"/>
    </row>
    <row r="65" customFormat="false" ht="13.2" hidden="false" customHeight="false" outlineLevel="0" collapsed="false">
      <c r="A65" s="20" t="s">
        <v>69</v>
      </c>
      <c r="B65" s="3" t="n">
        <v>30000</v>
      </c>
      <c r="C65" s="4" t="n">
        <f aca="false">$B$3/55</f>
        <v>27.4545454545455</v>
      </c>
      <c r="D65" s="5" t="n">
        <f aca="false">B65*C65</f>
        <v>823636.363636364</v>
      </c>
      <c r="E65" s="6"/>
      <c r="F65" s="6" t="n">
        <f aca="false">D65/$B$3</f>
        <v>545.454545454546</v>
      </c>
      <c r="G65" s="8" t="s">
        <v>70</v>
      </c>
    </row>
    <row r="66" customFormat="false" ht="13.2" hidden="false" customHeight="false" outlineLevel="0" collapsed="false">
      <c r="A66" s="20" t="s">
        <v>71</v>
      </c>
      <c r="B66" s="3" t="n">
        <v>20000</v>
      </c>
      <c r="C66" s="4" t="n">
        <f aca="false">$B$3/55</f>
        <v>27.4545454545455</v>
      </c>
      <c r="D66" s="5" t="n">
        <f aca="false">B66*C66</f>
        <v>549090.909090909</v>
      </c>
      <c r="E66" s="6"/>
      <c r="F66" s="6" t="n">
        <f aca="false">D66/$B$3</f>
        <v>363.636363636364</v>
      </c>
      <c r="G66" s="8" t="s">
        <v>70</v>
      </c>
    </row>
    <row r="67" customFormat="false" ht="13.2" hidden="false" customHeight="false" outlineLevel="0" collapsed="false">
      <c r="A67" s="20" t="s">
        <v>72</v>
      </c>
      <c r="B67" s="3" t="n">
        <v>40000</v>
      </c>
      <c r="C67" s="4" t="n">
        <f aca="false">$B$3/55</f>
        <v>27.4545454545455</v>
      </c>
      <c r="D67" s="5" t="n">
        <f aca="false">B67*C67</f>
        <v>1098181.81818182</v>
      </c>
      <c r="E67" s="6"/>
      <c r="F67" s="6" t="n">
        <f aca="false">D67/$B$3</f>
        <v>727.272727272727</v>
      </c>
      <c r="G67" s="8" t="s">
        <v>70</v>
      </c>
    </row>
    <row r="68" customFormat="false" ht="13.2" hidden="false" customHeight="false" outlineLevel="0" collapsed="false">
      <c r="A68" s="20" t="s">
        <v>73</v>
      </c>
      <c r="B68" s="3" t="n">
        <v>35000</v>
      </c>
      <c r="C68" s="4" t="n">
        <f aca="false">$B$3/55</f>
        <v>27.4545454545455</v>
      </c>
      <c r="D68" s="5" t="n">
        <f aca="false">B68*C68</f>
        <v>960909.090909091</v>
      </c>
      <c r="E68" s="6"/>
      <c r="F68" s="6" t="n">
        <f aca="false">D68/$B$3</f>
        <v>636.363636363636</v>
      </c>
      <c r="G68" s="8" t="s">
        <v>70</v>
      </c>
    </row>
    <row r="69" customFormat="false" ht="14.4" hidden="false" customHeight="false" outlineLevel="0" collapsed="false">
      <c r="A69" s="20" t="s">
        <v>74</v>
      </c>
      <c r="B69" s="14" t="n">
        <v>10000</v>
      </c>
      <c r="C69" s="15" t="n">
        <f aca="false">$B$3/55</f>
        <v>27.4545454545455</v>
      </c>
      <c r="D69" s="10" t="n">
        <f aca="false">B69*C69</f>
        <v>274545.454545455</v>
      </c>
      <c r="E69" s="23"/>
      <c r="F69" s="23" t="n">
        <f aca="false">D69/$B$3</f>
        <v>181.818181818182</v>
      </c>
      <c r="G69" s="8" t="s">
        <v>70</v>
      </c>
    </row>
    <row r="70" customFormat="false" ht="13.2" hidden="false" customHeight="false" outlineLevel="0" collapsed="false">
      <c r="A70" s="26" t="s">
        <v>24</v>
      </c>
      <c r="B70" s="32"/>
      <c r="C70" s="28"/>
      <c r="D70" s="5"/>
      <c r="E70" s="27" t="n">
        <f aca="false">SUM(D65:D69)</f>
        <v>3706363.63636364</v>
      </c>
      <c r="F70" s="6" t="n">
        <f aca="false">E70/$B$3</f>
        <v>2454.54545454545</v>
      </c>
      <c r="G70" s="8"/>
    </row>
    <row r="71" customFormat="false" ht="13.2" hidden="false" customHeight="false" outlineLevel="0" collapsed="false">
      <c r="A71" s="30"/>
      <c r="B71" s="3"/>
      <c r="C71" s="4"/>
      <c r="D71" s="5"/>
      <c r="E71" s="6"/>
      <c r="F71" s="6"/>
      <c r="G71" s="8"/>
    </row>
    <row r="72" customFormat="false" ht="13.2" hidden="false" customHeight="false" outlineLevel="0" collapsed="false">
      <c r="A72" s="17" t="s">
        <v>75</v>
      </c>
      <c r="B72" s="18"/>
      <c r="C72" s="19"/>
      <c r="D72" s="5"/>
      <c r="E72" s="6"/>
      <c r="F72" s="6"/>
      <c r="G72" s="8"/>
    </row>
    <row r="73" customFormat="false" ht="13.2" hidden="false" customHeight="false" outlineLevel="0" collapsed="false">
      <c r="A73" s="20" t="s">
        <v>76</v>
      </c>
      <c r="B73" s="3" t="n">
        <v>500000</v>
      </c>
      <c r="C73" s="4"/>
      <c r="D73" s="5" t="n">
        <f aca="false">B73</f>
        <v>500000</v>
      </c>
      <c r="E73" s="6"/>
      <c r="F73" s="6" t="n">
        <f aca="false">D73/$B$3</f>
        <v>331.12582781457</v>
      </c>
      <c r="G73" s="8"/>
    </row>
    <row r="74" customFormat="false" ht="13.2" hidden="false" customHeight="false" outlineLevel="0" collapsed="false">
      <c r="A74" s="20" t="s">
        <v>77</v>
      </c>
      <c r="B74" s="3" t="n">
        <v>250000</v>
      </c>
      <c r="C74" s="4"/>
      <c r="D74" s="5" t="n">
        <f aca="false">B74</f>
        <v>250000</v>
      </c>
      <c r="E74" s="6"/>
      <c r="F74" s="6" t="n">
        <f aca="false">D74/$B$3</f>
        <v>165.562913907285</v>
      </c>
      <c r="G74" s="8"/>
    </row>
    <row r="75" customFormat="false" ht="13.2" hidden="false" customHeight="false" outlineLevel="0" collapsed="false">
      <c r="A75" s="20" t="s">
        <v>78</v>
      </c>
      <c r="B75" s="3" t="n">
        <v>750000</v>
      </c>
      <c r="C75" s="4"/>
      <c r="D75" s="5" t="n">
        <f aca="false">B75</f>
        <v>750000</v>
      </c>
      <c r="E75" s="6"/>
      <c r="F75" s="6" t="n">
        <f aca="false">D75/$B$3</f>
        <v>496.688741721854</v>
      </c>
      <c r="G75" s="8" t="s">
        <v>79</v>
      </c>
    </row>
    <row r="76" customFormat="false" ht="13.2" hidden="false" customHeight="false" outlineLevel="0" collapsed="false">
      <c r="A76" s="20" t="s">
        <v>80</v>
      </c>
      <c r="B76" s="3" t="n">
        <v>250000</v>
      </c>
      <c r="C76" s="4"/>
      <c r="D76" s="5" t="n">
        <f aca="false">B76</f>
        <v>250000</v>
      </c>
      <c r="E76" s="6"/>
      <c r="F76" s="6" t="n">
        <f aca="false">D76/$B$3</f>
        <v>165.562913907285</v>
      </c>
      <c r="G76" s="8"/>
    </row>
    <row r="77" customFormat="false" ht="14.4" hidden="false" customHeight="false" outlineLevel="0" collapsed="false">
      <c r="A77" s="22" t="s">
        <v>81</v>
      </c>
      <c r="B77" s="14" t="n">
        <v>750000</v>
      </c>
      <c r="C77" s="15"/>
      <c r="D77" s="10" t="n">
        <f aca="false">B77</f>
        <v>750000</v>
      </c>
      <c r="E77" s="23"/>
      <c r="F77" s="23" t="n">
        <f aca="false">D77/$B$3</f>
        <v>496.688741721854</v>
      </c>
      <c r="G77" s="8" t="s">
        <v>82</v>
      </c>
    </row>
    <row r="78" customFormat="false" ht="13.2" hidden="false" customHeight="false" outlineLevel="0" collapsed="false">
      <c r="A78" s="26" t="s">
        <v>24</v>
      </c>
      <c r="B78" s="32"/>
      <c r="C78" s="28"/>
      <c r="D78" s="5"/>
      <c r="E78" s="27" t="n">
        <f aca="false">SUM(D73:D77)</f>
        <v>2500000</v>
      </c>
      <c r="F78" s="6" t="n">
        <f aca="false">E78/$B$3</f>
        <v>1655.62913907285</v>
      </c>
      <c r="G78" s="8"/>
    </row>
    <row r="79" customFormat="false" ht="13.2" hidden="false" customHeight="false" outlineLevel="0" collapsed="false">
      <c r="A79" s="26"/>
      <c r="B79" s="32"/>
      <c r="C79" s="28"/>
      <c r="D79" s="5"/>
      <c r="E79" s="6"/>
      <c r="F79" s="6"/>
      <c r="G79" s="12"/>
    </row>
    <row r="80" customFormat="false" ht="16.8" hidden="false" customHeight="false" outlineLevel="0" collapsed="false">
      <c r="A80" s="40" t="s">
        <v>24</v>
      </c>
      <c r="B80" s="32"/>
      <c r="C80" s="28"/>
      <c r="D80" s="27"/>
      <c r="E80" s="41" t="n">
        <f aca="false">SUM(E1:E79)</f>
        <v>171040272.277035</v>
      </c>
      <c r="F80" s="42" t="n">
        <f aca="false">E80/B3</f>
        <v>113271.703494725</v>
      </c>
      <c r="G80" s="8"/>
    </row>
    <row r="81" customFormat="false" ht="13.2" hidden="false" customHeight="false" outlineLevel="0" collapsed="false">
      <c r="A81" s="17" t="s">
        <v>83</v>
      </c>
      <c r="B81" s="18"/>
      <c r="C81" s="19"/>
      <c r="D81" s="5"/>
      <c r="E81" s="6"/>
      <c r="F81" s="6"/>
      <c r="G81" s="8"/>
    </row>
    <row r="82" customFormat="false" ht="13.2" hidden="false" customHeight="false" outlineLevel="0" collapsed="false">
      <c r="A82" s="20" t="s">
        <v>84</v>
      </c>
      <c r="B82" s="3"/>
      <c r="C82" s="4"/>
      <c r="D82" s="5" t="n">
        <f aca="false">0.1*E80</f>
        <v>17104027.2277035</v>
      </c>
      <c r="E82" s="6"/>
      <c r="F82" s="6" t="n">
        <f aca="false">D82/$B$3</f>
        <v>11327.1703494725</v>
      </c>
      <c r="G82" s="8"/>
    </row>
    <row r="83" customFormat="false" ht="13.2" hidden="false" customHeight="false" outlineLevel="0" collapsed="false">
      <c r="A83" s="20" t="s">
        <v>85</v>
      </c>
      <c r="B83" s="3"/>
      <c r="C83" s="4"/>
      <c r="D83" s="5" t="n">
        <f aca="false">E80*0.1</f>
        <v>17104027.2277035</v>
      </c>
      <c r="E83" s="6"/>
      <c r="F83" s="6" t="n">
        <f aca="false">D83/$B$3</f>
        <v>11327.1703494725</v>
      </c>
      <c r="G83" s="8"/>
    </row>
    <row r="84" customFormat="false" ht="14.4" hidden="false" customHeight="false" outlineLevel="0" collapsed="false">
      <c r="A84" s="20"/>
      <c r="B84" s="3"/>
      <c r="C84" s="4"/>
      <c r="D84" s="5"/>
      <c r="E84" s="43" t="n">
        <f aca="false">SUM(D82:D83)</f>
        <v>34208054.4554069</v>
      </c>
      <c r="F84" s="6" t="n">
        <f aca="false">E84/$B$3</f>
        <v>22654.340698945</v>
      </c>
      <c r="G84" s="8"/>
    </row>
    <row r="85" customFormat="false" ht="13.8" hidden="false" customHeight="false" outlineLevel="0" collapsed="false">
      <c r="A85" s="30"/>
      <c r="B85" s="3"/>
      <c r="C85" s="4"/>
      <c r="D85" s="5"/>
      <c r="E85" s="6"/>
      <c r="F85" s="6" t="n">
        <f aca="false">E85/$B$3</f>
        <v>0</v>
      </c>
      <c r="G85" s="12"/>
    </row>
    <row r="86" customFormat="false" ht="13.8" hidden="false" customHeight="false" outlineLevel="0" collapsed="false">
      <c r="B86" s="3"/>
      <c r="C86" s="4"/>
      <c r="D86" s="44" t="s">
        <v>86</v>
      </c>
      <c r="E86" s="45" t="n">
        <f aca="false">SUM(E80)+(E84)</f>
        <v>205248326.732442</v>
      </c>
      <c r="F86" s="46" t="n">
        <f aca="false">E86/$B$3</f>
        <v>135926.04419367</v>
      </c>
      <c r="G86" s="5"/>
    </row>
    <row r="88" customFormat="false" ht="15.6" hidden="false" customHeight="false" outlineLevel="0" collapsed="false">
      <c r="A88" s="47"/>
      <c r="B88" s="48"/>
      <c r="C88" s="49"/>
      <c r="D88" s="50"/>
      <c r="E88" s="51"/>
      <c r="F88" s="52"/>
      <c r="G88" s="8"/>
      <c r="H88" s="53"/>
    </row>
    <row r="89" customFormat="false" ht="14.4" hidden="false" customHeight="false" outlineLevel="0" collapsed="false">
      <c r="A89" s="54" t="s">
        <v>87</v>
      </c>
      <c r="B89" s="14" t="s">
        <v>88</v>
      </c>
      <c r="C89" s="15" t="s">
        <v>89</v>
      </c>
      <c r="D89" s="5"/>
      <c r="E89" s="10" t="s">
        <v>90</v>
      </c>
      <c r="F89" s="55"/>
      <c r="G89" s="8"/>
    </row>
    <row r="90" customFormat="false" ht="13.2" hidden="false" customHeight="false" outlineLevel="0" collapsed="false">
      <c r="A90" s="56" t="s">
        <v>91</v>
      </c>
      <c r="B90" s="5" t="n">
        <v>485000</v>
      </c>
      <c r="C90" s="57" t="n">
        <v>21.5</v>
      </c>
      <c r="D90" s="5"/>
      <c r="E90" s="5" t="n">
        <f aca="false">B90*C90</f>
        <v>10427500</v>
      </c>
      <c r="F90" s="55"/>
      <c r="G90" s="8"/>
    </row>
    <row r="91" customFormat="false" ht="13.2" hidden="false" customHeight="false" outlineLevel="0" collapsed="false">
      <c r="A91" s="56" t="s">
        <v>92</v>
      </c>
      <c r="B91" s="5" t="n">
        <v>375000</v>
      </c>
      <c r="C91" s="57" t="n">
        <v>13.5</v>
      </c>
      <c r="D91" s="5"/>
      <c r="E91" s="5" t="n">
        <f aca="false">B91*C91</f>
        <v>5062500</v>
      </c>
      <c r="F91" s="55"/>
      <c r="G91" s="8"/>
    </row>
    <row r="92" customFormat="false" ht="13.2" hidden="false" customHeight="false" outlineLevel="0" collapsed="false">
      <c r="A92" s="56" t="s">
        <v>93</v>
      </c>
      <c r="B92" s="5" t="n">
        <v>425000</v>
      </c>
      <c r="C92" s="57" t="n">
        <v>10</v>
      </c>
      <c r="D92" s="5"/>
      <c r="E92" s="5" t="n">
        <f aca="false">B92*C92</f>
        <v>4250000</v>
      </c>
      <c r="F92" s="55"/>
      <c r="G92" s="8"/>
    </row>
    <row r="93" customFormat="false" ht="13.2" hidden="false" customHeight="false" outlineLevel="0" collapsed="false">
      <c r="A93" s="56" t="s">
        <v>94</v>
      </c>
      <c r="B93" s="5" t="n">
        <v>425000</v>
      </c>
      <c r="C93" s="57" t="n">
        <v>8</v>
      </c>
      <c r="D93" s="5"/>
      <c r="E93" s="5" t="n">
        <f aca="false">B93*C93</f>
        <v>3400000</v>
      </c>
      <c r="F93" s="55"/>
      <c r="G93" s="8"/>
    </row>
    <row r="94" customFormat="false" ht="14.4" hidden="false" customHeight="false" outlineLevel="0" collapsed="false">
      <c r="A94" s="58" t="s">
        <v>95</v>
      </c>
      <c r="B94" s="5" t="n">
        <v>525000</v>
      </c>
      <c r="C94" s="59" t="n">
        <v>21</v>
      </c>
      <c r="D94" s="5"/>
      <c r="E94" s="10" t="n">
        <f aca="false">B94*C94</f>
        <v>11025000</v>
      </c>
      <c r="F94" s="55"/>
      <c r="G94" s="8"/>
    </row>
    <row r="95" customFormat="false" ht="13.2" hidden="false" customHeight="false" outlineLevel="0" collapsed="false">
      <c r="A95" s="60" t="s">
        <v>96</v>
      </c>
      <c r="B95" s="5"/>
      <c r="C95" s="4" t="n">
        <f aca="false">SUM(C90:C94)</f>
        <v>74</v>
      </c>
      <c r="D95" s="61" t="s">
        <v>97</v>
      </c>
      <c r="E95" s="62" t="n">
        <f aca="false">SUM(E90:E94)</f>
        <v>34165000</v>
      </c>
      <c r="F95" s="63" t="s">
        <v>98</v>
      </c>
      <c r="G95" s="8"/>
    </row>
    <row r="96" customFormat="false" ht="13.2" hidden="false" customHeight="false" outlineLevel="0" collapsed="false">
      <c r="A96" s="64"/>
      <c r="B96" s="65"/>
      <c r="C96" s="66"/>
      <c r="D96" s="67"/>
      <c r="E96" s="68"/>
      <c r="F96" s="69" t="n">
        <f aca="false">E95/C95</f>
        <v>461689.189189189</v>
      </c>
      <c r="G96" s="12"/>
      <c r="H96" s="70"/>
    </row>
    <row r="97" customFormat="false" ht="13.2" hidden="false" customHeight="false" outlineLevel="0" collapsed="false">
      <c r="A97" s="71"/>
      <c r="B97" s="3"/>
      <c r="C97" s="4"/>
      <c r="D97" s="72"/>
      <c r="E97" s="71"/>
      <c r="F97" s="71"/>
      <c r="G97" s="5"/>
    </row>
    <row r="98" customFormat="false" ht="13.8" hidden="false" customHeight="false" outlineLevel="0" collapsed="false"/>
    <row r="99" customFormat="false" ht="13.8" hidden="false" customHeight="false" outlineLevel="0" collapsed="false">
      <c r="C99" s="44" t="s">
        <v>99</v>
      </c>
      <c r="D99" s="45" t="n">
        <f aca="false">SUM(E86+E95)</f>
        <v>239413326.732442</v>
      </c>
      <c r="E99" s="46" t="n">
        <f aca="false">D99/$B$6</f>
        <v>151144.776977552</v>
      </c>
    </row>
  </sheetData>
  <printOptions headings="false" gridLines="tru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&amp;CEPECC-SysCost.xls</oddHeader>
    <oddFooter>&amp;C&amp;D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15.32"/>
    <col collapsed="false" customWidth="true" hidden="false" outlineLevel="0" max="2" min="2" style="73" width="13.87"/>
    <col collapsed="false" customWidth="true" hidden="false" outlineLevel="0" max="3" min="3" style="74" width="9.33"/>
    <col collapsed="false" customWidth="true" hidden="false" outlineLevel="0" max="4" min="4" style="73" width="13.99"/>
  </cols>
  <sheetData>
    <row r="1" customFormat="false" ht="15.6" hidden="false" customHeight="false" outlineLevel="0" collapsed="false">
      <c r="A1" s="75" t="s">
        <v>100</v>
      </c>
      <c r="B1" s="76" t="s">
        <v>101</v>
      </c>
    </row>
    <row r="3" customFormat="false" ht="13.2" hidden="false" customHeight="false" outlineLevel="0" collapsed="false">
      <c r="A3" s="77" t="s">
        <v>102</v>
      </c>
      <c r="B3" s="78"/>
      <c r="D3" s="78"/>
    </row>
    <row r="4" customFormat="false" ht="13.2" hidden="false" customHeight="false" outlineLevel="0" collapsed="false">
      <c r="A4" s="79"/>
      <c r="B4" s="80" t="s">
        <v>103</v>
      </c>
      <c r="C4" s="81" t="s">
        <v>104</v>
      </c>
      <c r="D4" s="80" t="s">
        <v>105</v>
      </c>
    </row>
    <row r="5" customFormat="false" ht="13.2" hidden="false" customHeight="false" outlineLevel="0" collapsed="false">
      <c r="A5" s="30" t="s">
        <v>106</v>
      </c>
      <c r="B5" s="73" t="n">
        <v>142900000</v>
      </c>
      <c r="D5" s="73" t="n">
        <v>142900000</v>
      </c>
    </row>
    <row r="6" customFormat="false" ht="13.2" hidden="false" customHeight="false" outlineLevel="0" collapsed="false">
      <c r="A6" s="82" t="s">
        <v>107</v>
      </c>
      <c r="B6" s="83" t="n">
        <v>-11400000</v>
      </c>
      <c r="C6" s="74" t="s">
        <v>108</v>
      </c>
      <c r="D6" s="83" t="n">
        <f aca="false">28277*1300</f>
        <v>36760100</v>
      </c>
      <c r="E6" s="0" t="s">
        <v>109</v>
      </c>
    </row>
    <row r="7" customFormat="false" ht="13.2" hidden="false" customHeight="false" outlineLevel="0" collapsed="false">
      <c r="A7" s="30" t="s">
        <v>90</v>
      </c>
      <c r="B7" s="73" t="n">
        <f aca="false">SUM(B5:B6)</f>
        <v>131500000</v>
      </c>
      <c r="D7" s="73" t="n">
        <f aca="false">SUM(D5:D6)</f>
        <v>179660100</v>
      </c>
    </row>
    <row r="9" customFormat="false" ht="13.2" hidden="false" customHeight="false" outlineLevel="0" collapsed="false">
      <c r="A9" s="77" t="s">
        <v>110</v>
      </c>
      <c r="B9" s="78"/>
      <c r="C9" s="81" t="s">
        <v>111</v>
      </c>
      <c r="D9" s="78"/>
    </row>
    <row r="10" customFormat="false" ht="13.2" hidden="false" customHeight="false" outlineLevel="0" collapsed="false">
      <c r="A10" s="79"/>
      <c r="B10" s="80" t="s">
        <v>103</v>
      </c>
      <c r="D10" s="80" t="s">
        <v>105</v>
      </c>
    </row>
    <row r="11" customFormat="false" ht="13.2" hidden="false" customHeight="false" outlineLevel="0" collapsed="false">
      <c r="A11" s="30" t="s">
        <v>106</v>
      </c>
      <c r="B11" s="73" t="n">
        <v>166000000</v>
      </c>
      <c r="D11" s="73" t="n">
        <v>166000000</v>
      </c>
    </row>
    <row r="12" customFormat="false" ht="13.2" hidden="false" customHeight="false" outlineLevel="0" collapsed="false">
      <c r="A12" s="82" t="s">
        <v>107</v>
      </c>
      <c r="B12" s="84" t="n">
        <v>-11400000</v>
      </c>
      <c r="C12" s="74" t="s">
        <v>108</v>
      </c>
      <c r="D12" s="83" t="n">
        <f aca="false">28277*1353</f>
        <v>38258781</v>
      </c>
      <c r="E12" s="0" t="s">
        <v>112</v>
      </c>
    </row>
    <row r="13" customFormat="false" ht="13.2" hidden="false" customHeight="false" outlineLevel="0" collapsed="false">
      <c r="A13" s="82" t="s">
        <v>113</v>
      </c>
      <c r="B13" s="83" t="n">
        <v>-5600000</v>
      </c>
      <c r="D13" s="83" t="n">
        <v>0</v>
      </c>
    </row>
    <row r="14" customFormat="false" ht="13.2" hidden="false" customHeight="false" outlineLevel="0" collapsed="false">
      <c r="A14" s="30" t="s">
        <v>90</v>
      </c>
      <c r="B14" s="73" t="n">
        <f aca="false">SUM(B11:B13)</f>
        <v>149000000</v>
      </c>
      <c r="D14" s="73" t="n">
        <f aca="false">SUM(D11:D12)</f>
        <v>204258781</v>
      </c>
    </row>
    <row r="15" customFormat="false" ht="18.75" hidden="false" customHeight="true" outlineLevel="0" collapsed="false"/>
    <row r="16" customFormat="false" ht="13.2" hidden="false" customHeight="false" outlineLevel="0" collapsed="false">
      <c r="A16" s="1" t="s">
        <v>114</v>
      </c>
      <c r="B16" s="85" t="s">
        <v>115</v>
      </c>
      <c r="C16" s="79" t="s">
        <v>116</v>
      </c>
      <c r="D16" s="7" t="s">
        <v>117</v>
      </c>
    </row>
    <row r="17" customFormat="false" ht="15.6" hidden="false" customHeight="false" outlineLevel="0" collapsed="false">
      <c r="A17" s="86" t="s">
        <v>118</v>
      </c>
      <c r="B17" s="87" t="n">
        <f aca="false">NPV(0.1,B18:B47)</f>
        <v>28276.6403931387</v>
      </c>
    </row>
    <row r="18" customFormat="false" ht="13.2" hidden="false" customHeight="false" outlineLevel="0" collapsed="false">
      <c r="A18" s="1" t="s">
        <v>119</v>
      </c>
      <c r="B18" s="73" t="n">
        <v>2640</v>
      </c>
    </row>
    <row r="19" customFormat="false" ht="13.2" hidden="false" customHeight="false" outlineLevel="0" collapsed="false">
      <c r="A19" s="1" t="n">
        <v>2</v>
      </c>
      <c r="B19" s="73" t="n">
        <f aca="false">B18*1.015</f>
        <v>2679.6</v>
      </c>
    </row>
    <row r="20" customFormat="false" ht="13.2" hidden="false" customHeight="false" outlineLevel="0" collapsed="false">
      <c r="A20" s="1" t="n">
        <v>3</v>
      </c>
      <c r="B20" s="73" t="n">
        <f aca="false">B19*1.015</f>
        <v>2719.794</v>
      </c>
    </row>
    <row r="21" customFormat="false" ht="13.2" hidden="false" customHeight="false" outlineLevel="0" collapsed="false">
      <c r="A21" s="1" t="n">
        <v>4</v>
      </c>
      <c r="B21" s="73" t="n">
        <f aca="false">B20*1.015</f>
        <v>2760.59091</v>
      </c>
    </row>
    <row r="22" customFormat="false" ht="13.2" hidden="false" customHeight="false" outlineLevel="0" collapsed="false">
      <c r="A22" s="1" t="n">
        <v>5</v>
      </c>
      <c r="B22" s="73" t="n">
        <f aca="false">B21*1.015</f>
        <v>2801.99977365</v>
      </c>
    </row>
    <row r="23" customFormat="false" ht="13.2" hidden="false" customHeight="false" outlineLevel="0" collapsed="false">
      <c r="A23" s="1" t="n">
        <v>6</v>
      </c>
      <c r="B23" s="73" t="n">
        <f aca="false">B22*1.015</f>
        <v>2844.02977025475</v>
      </c>
    </row>
    <row r="24" customFormat="false" ht="13.2" hidden="false" customHeight="false" outlineLevel="0" collapsed="false">
      <c r="A24" s="1" t="n">
        <v>7</v>
      </c>
      <c r="B24" s="73" t="n">
        <f aca="false">B23*1.015</f>
        <v>2886.69021680857</v>
      </c>
    </row>
    <row r="25" customFormat="false" ht="13.2" hidden="false" customHeight="false" outlineLevel="0" collapsed="false">
      <c r="A25" s="1" t="n">
        <v>8</v>
      </c>
      <c r="B25" s="73" t="n">
        <f aca="false">B24*1.015</f>
        <v>2929.9905700607</v>
      </c>
    </row>
    <row r="26" customFormat="false" ht="13.2" hidden="false" customHeight="false" outlineLevel="0" collapsed="false">
      <c r="A26" s="1" t="n">
        <v>9</v>
      </c>
      <c r="B26" s="73" t="n">
        <f aca="false">B25*1.015</f>
        <v>2973.94042861161</v>
      </c>
    </row>
    <row r="27" customFormat="false" ht="13.2" hidden="false" customHeight="false" outlineLevel="0" collapsed="false">
      <c r="A27" s="1" t="n">
        <v>10</v>
      </c>
      <c r="B27" s="73" t="n">
        <f aca="false">B26*1.015</f>
        <v>3018.54953504078</v>
      </c>
    </row>
    <row r="28" customFormat="false" ht="13.2" hidden="false" customHeight="false" outlineLevel="0" collapsed="false">
      <c r="A28" s="1" t="n">
        <v>11</v>
      </c>
      <c r="B28" s="73" t="n">
        <f aca="false">B27*1.015</f>
        <v>3063.82777806639</v>
      </c>
    </row>
    <row r="29" customFormat="false" ht="13.2" hidden="false" customHeight="false" outlineLevel="0" collapsed="false">
      <c r="A29" s="1" t="n">
        <v>12</v>
      </c>
      <c r="B29" s="73" t="n">
        <f aca="false">B28*1.015</f>
        <v>3109.78519473739</v>
      </c>
    </row>
    <row r="30" customFormat="false" ht="13.2" hidden="false" customHeight="false" outlineLevel="0" collapsed="false">
      <c r="A30" s="1" t="n">
        <v>13</v>
      </c>
      <c r="B30" s="73" t="n">
        <f aca="false">B29*1.015</f>
        <v>3156.43197265845</v>
      </c>
    </row>
    <row r="31" customFormat="false" ht="13.2" hidden="false" customHeight="false" outlineLevel="0" collapsed="false">
      <c r="A31" s="1" t="n">
        <v>14</v>
      </c>
      <c r="B31" s="73" t="n">
        <f aca="false">B30*1.015</f>
        <v>3203.77845224833</v>
      </c>
    </row>
    <row r="32" customFormat="false" ht="13.2" hidden="false" customHeight="false" outlineLevel="0" collapsed="false">
      <c r="A32" s="1" t="n">
        <v>15</v>
      </c>
      <c r="B32" s="73" t="n">
        <f aca="false">B31*1.015</f>
        <v>3251.83512903205</v>
      </c>
    </row>
    <row r="33" customFormat="false" ht="13.2" hidden="false" customHeight="false" outlineLevel="0" collapsed="false">
      <c r="A33" s="1" t="n">
        <v>16</v>
      </c>
      <c r="B33" s="73" t="n">
        <f aca="false">B32*1.015</f>
        <v>3300.61265596753</v>
      </c>
    </row>
    <row r="34" customFormat="false" ht="13.2" hidden="false" customHeight="false" outlineLevel="0" collapsed="false">
      <c r="A34" s="1" t="n">
        <v>17</v>
      </c>
      <c r="B34" s="73" t="n">
        <f aca="false">B33*1.015</f>
        <v>3350.12184580704</v>
      </c>
    </row>
    <row r="35" customFormat="false" ht="13.2" hidden="false" customHeight="false" outlineLevel="0" collapsed="false">
      <c r="A35" s="1" t="n">
        <v>18</v>
      </c>
      <c r="B35" s="73" t="n">
        <f aca="false">B34*1.015</f>
        <v>3400.37367349415</v>
      </c>
    </row>
    <row r="36" customFormat="false" ht="13.2" hidden="false" customHeight="false" outlineLevel="0" collapsed="false">
      <c r="A36" s="1" t="n">
        <v>19</v>
      </c>
      <c r="B36" s="73" t="n">
        <f aca="false">B35*1.015</f>
        <v>3451.37927859656</v>
      </c>
    </row>
    <row r="37" customFormat="false" ht="13.2" hidden="false" customHeight="false" outlineLevel="0" collapsed="false">
      <c r="A37" s="1" t="n">
        <v>20</v>
      </c>
      <c r="B37" s="73" t="n">
        <f aca="false">B36*1.015</f>
        <v>3503.14996777551</v>
      </c>
    </row>
    <row r="38" customFormat="false" ht="13.2" hidden="false" customHeight="false" outlineLevel="0" collapsed="false">
      <c r="A38" s="1" t="n">
        <v>21</v>
      </c>
      <c r="B38" s="73" t="n">
        <f aca="false">B37*1.015</f>
        <v>3555.69721729214</v>
      </c>
    </row>
    <row r="39" customFormat="false" ht="13.2" hidden="false" customHeight="false" outlineLevel="0" collapsed="false">
      <c r="A39" s="1" t="n">
        <v>22</v>
      </c>
      <c r="B39" s="73" t="n">
        <f aca="false">B38*1.015</f>
        <v>3609.03267555152</v>
      </c>
    </row>
    <row r="40" customFormat="false" ht="13.2" hidden="false" customHeight="false" outlineLevel="0" collapsed="false">
      <c r="A40" s="1" t="n">
        <v>23</v>
      </c>
      <c r="B40" s="73" t="n">
        <f aca="false">B39*1.015</f>
        <v>3663.16816568479</v>
      </c>
    </row>
    <row r="41" customFormat="false" ht="13.2" hidden="false" customHeight="false" outlineLevel="0" collapsed="false">
      <c r="A41" s="1" t="n">
        <v>24</v>
      </c>
      <c r="B41" s="73" t="n">
        <f aca="false">B40*1.015</f>
        <v>3718.11568817007</v>
      </c>
    </row>
    <row r="42" customFormat="false" ht="13.2" hidden="false" customHeight="false" outlineLevel="0" collapsed="false">
      <c r="A42" s="1" t="n">
        <v>25</v>
      </c>
      <c r="B42" s="73" t="n">
        <f aca="false">B41*1.015</f>
        <v>3773.88742349262</v>
      </c>
    </row>
    <row r="43" customFormat="false" ht="13.2" hidden="false" customHeight="false" outlineLevel="0" collapsed="false">
      <c r="A43" s="1" t="n">
        <v>26</v>
      </c>
      <c r="B43" s="73" t="n">
        <f aca="false">B42*1.015</f>
        <v>3830.49573484501</v>
      </c>
    </row>
    <row r="44" customFormat="false" ht="13.2" hidden="false" customHeight="false" outlineLevel="0" collapsed="false">
      <c r="A44" s="1" t="n">
        <v>27</v>
      </c>
      <c r="B44" s="73" t="n">
        <f aca="false">B43*1.015</f>
        <v>3887.95317086768</v>
      </c>
    </row>
    <row r="45" customFormat="false" ht="13.2" hidden="false" customHeight="false" outlineLevel="0" collapsed="false">
      <c r="A45" s="1" t="n">
        <v>28</v>
      </c>
      <c r="B45" s="73" t="n">
        <f aca="false">B44*1.015</f>
        <v>3946.2724684307</v>
      </c>
    </row>
    <row r="46" customFormat="false" ht="13.2" hidden="false" customHeight="false" outlineLevel="0" collapsed="false">
      <c r="A46" s="1" t="n">
        <v>29</v>
      </c>
      <c r="B46" s="73" t="n">
        <f aca="false">B45*1.015</f>
        <v>4005.46655545716</v>
      </c>
    </row>
    <row r="47" customFormat="false" ht="13.2" hidden="false" customHeight="false" outlineLevel="0" collapsed="false">
      <c r="A47" s="1" t="n">
        <v>30</v>
      </c>
      <c r="B47" s="73" t="n">
        <f aca="false">B46*1.015</f>
        <v>4065.54855378901</v>
      </c>
    </row>
  </sheetData>
  <printOptions headings="false" gridLines="true" gridLinesSet="true" horizontalCentered="true" verticalCentered="true"/>
  <pageMargins left="0.747916666666667" right="0.747916666666667" top="0.984027777777778" bottom="0.984027777777778" header="0.511811023622047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1999-08-05T00:02:03Z</dcterms:created>
  <dc:creator>jballen</dc:creator>
  <dc:description/>
  <dc:language>en-US</dc:language>
  <cp:lastModifiedBy>John Ballentine</cp:lastModifiedBy>
  <cp:lastPrinted>1999-12-30T16:16:25Z</cp:lastPrinted>
  <cp:revision>0</cp:revision>
  <dc:subject/>
  <dc:title/>
</cp:coreProperties>
</file>